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/>
  <mc:AlternateContent xmlns:mc="http://schemas.openxmlformats.org/markup-compatibility/2006">
    <mc:Choice Requires="x15">
      <x15ac:absPath xmlns:x15ac="http://schemas.microsoft.com/office/spreadsheetml/2010/11/ac" url="C:\Users\yasin\Desktop\"/>
    </mc:Choice>
  </mc:AlternateContent>
  <xr:revisionPtr revIDLastSave="0" documentId="13_ncr:1_{D7F7853B-5D85-4E95-A7DD-FBB40A1CDDB5}" xr6:coauthVersionLast="47" xr6:coauthVersionMax="47" xr10:uidLastSave="{00000000-0000-0000-0000-000000000000}"/>
  <bookViews>
    <workbookView xWindow="-120" yWindow="-120" windowWidth="20730" windowHeight="11160" tabRatio="846" xr2:uid="{00000000-000D-0000-FFFF-FFFF00000000}"/>
  </bookViews>
  <sheets>
    <sheet name="AÇIKLAMA" sheetId="5" r:id="rId1"/>
    <sheet name="BETON UYGUNLUK DEĞERLENDİRME" sheetId="1" r:id="rId2"/>
    <sheet name="Sheet4" sheetId="4" state="hidden" r:id="rId3"/>
    <sheet name="Sheet1" sheetId="6" state="hidden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2" i="1" l="1"/>
  <c r="V12" i="1"/>
  <c r="Z12" i="1"/>
  <c r="E14" i="1"/>
  <c r="N8" i="1"/>
  <c r="N10" i="1" s="1"/>
  <c r="M8" i="1"/>
  <c r="M10" i="1" s="1"/>
  <c r="L8" i="1"/>
  <c r="L9" i="1" s="1"/>
  <c r="K8" i="1"/>
  <c r="K10" i="1" s="1"/>
  <c r="J8" i="1"/>
  <c r="J9" i="1" s="1"/>
  <c r="I8" i="1"/>
  <c r="I9" i="1" s="1"/>
  <c r="H8" i="1"/>
  <c r="H10" i="1" s="1"/>
  <c r="H12" i="1" s="1"/>
  <c r="G8" i="1"/>
  <c r="G9" i="1" s="1"/>
  <c r="F8" i="1"/>
  <c r="F10" i="1" s="1"/>
  <c r="N12" i="6"/>
  <c r="E16" i="1"/>
  <c r="R25" i="1" s="1"/>
  <c r="R31" i="1" s="1"/>
  <c r="S31" i="1" s="1"/>
  <c r="F16" i="4"/>
  <c r="H16" i="4" s="1"/>
  <c r="H13" i="1" s="1"/>
  <c r="AA3" i="1"/>
  <c r="AA4" i="1" s="1"/>
  <c r="AA12" i="1" s="1"/>
  <c r="AA5" i="1"/>
  <c r="AA6" i="1"/>
  <c r="AA7" i="1"/>
  <c r="AA11" i="1"/>
  <c r="T3" i="1"/>
  <c r="T5" i="1" s="1"/>
  <c r="U3" i="1"/>
  <c r="U4" i="1" s="1"/>
  <c r="V3" i="1"/>
  <c r="V4" i="1" s="1"/>
  <c r="W3" i="1"/>
  <c r="W4" i="1" s="1"/>
  <c r="X3" i="1"/>
  <c r="X4" i="1" s="1"/>
  <c r="L11" i="1" s="1"/>
  <c r="X13" i="1" s="1"/>
  <c r="Y3" i="1"/>
  <c r="Y4" i="1" s="1"/>
  <c r="M11" i="1" s="1"/>
  <c r="Y13" i="1" s="1"/>
  <c r="Z3" i="1"/>
  <c r="Z4" i="1" s="1"/>
  <c r="N11" i="1" s="1"/>
  <c r="Z13" i="1" s="1"/>
  <c r="T11" i="1"/>
  <c r="U11" i="1"/>
  <c r="V11" i="1"/>
  <c r="W11" i="1"/>
  <c r="X11" i="1"/>
  <c r="Y11" i="1"/>
  <c r="Z11" i="1"/>
  <c r="E15" i="1"/>
  <c r="Y12" i="1" l="1"/>
  <c r="U12" i="1"/>
  <c r="I11" i="1" s="1"/>
  <c r="J11" i="1"/>
  <c r="V13" i="1" s="1"/>
  <c r="X12" i="1"/>
  <c r="N12" i="1"/>
  <c r="AA24" i="1" s="1"/>
  <c r="J12" i="1"/>
  <c r="F12" i="1"/>
  <c r="W12" i="1"/>
  <c r="K11" i="1" s="1"/>
  <c r="M12" i="1"/>
  <c r="I12" i="1"/>
  <c r="F9" i="1"/>
  <c r="H22" i="1"/>
  <c r="L10" i="1"/>
  <c r="L12" i="1" s="1"/>
  <c r="H24" i="1"/>
  <c r="M9" i="1"/>
  <c r="N9" i="1"/>
  <c r="H23" i="1"/>
  <c r="K9" i="1"/>
  <c r="J10" i="1"/>
  <c r="H20" i="1"/>
  <c r="I10" i="1"/>
  <c r="H9" i="1"/>
  <c r="G10" i="1"/>
  <c r="G12" i="1" s="1"/>
  <c r="X7" i="1"/>
  <c r="Z6" i="1"/>
  <c r="Q6" i="6"/>
  <c r="T31" i="1"/>
  <c r="J13" i="1" s="1"/>
  <c r="Q25" i="1"/>
  <c r="R30" i="1" s="1"/>
  <c r="S30" i="1" s="1"/>
  <c r="T30" i="1" s="1"/>
  <c r="I13" i="1" s="1"/>
  <c r="Z7" i="1"/>
  <c r="Q18" i="1"/>
  <c r="Q24" i="1"/>
  <c r="Q20" i="1"/>
  <c r="Q16" i="1"/>
  <c r="Q23" i="1"/>
  <c r="Q19" i="1"/>
  <c r="Q15" i="1"/>
  <c r="Q21" i="1"/>
  <c r="Q17" i="1"/>
  <c r="Q22" i="1"/>
  <c r="Z5" i="1"/>
  <c r="Y6" i="1"/>
  <c r="Y7" i="1"/>
  <c r="Y5" i="1"/>
  <c r="X5" i="1"/>
  <c r="X6" i="1"/>
  <c r="W7" i="1"/>
  <c r="W6" i="1"/>
  <c r="W5" i="1"/>
  <c r="V7" i="1"/>
  <c r="V6" i="1"/>
  <c r="V5" i="1"/>
  <c r="U5" i="1"/>
  <c r="U6" i="1"/>
  <c r="U7" i="1"/>
  <c r="T6" i="1"/>
  <c r="T7" i="1"/>
  <c r="T4" i="1"/>
  <c r="AA8" i="1"/>
  <c r="AA19" i="1"/>
  <c r="AA20" i="1"/>
  <c r="AA23" i="1"/>
  <c r="R11" i="1"/>
  <c r="S11" i="1"/>
  <c r="Q11" i="1"/>
  <c r="K4" i="4"/>
  <c r="I4" i="4"/>
  <c r="J4" i="4" s="1"/>
  <c r="G4" i="4"/>
  <c r="H4" i="4" s="1"/>
  <c r="E20" i="1" s="1"/>
  <c r="F20" i="1" s="1"/>
  <c r="E8" i="1"/>
  <c r="S3" i="1"/>
  <c r="R3" i="1"/>
  <c r="Q3" i="1"/>
  <c r="W13" i="1" l="1"/>
  <c r="H21" i="1"/>
  <c r="P21" i="1" s="1"/>
  <c r="U13" i="1"/>
  <c r="H19" i="1"/>
  <c r="P19" i="1" s="1"/>
  <c r="T12" i="1"/>
  <c r="H11" i="1" s="1"/>
  <c r="E9" i="1"/>
  <c r="E10" i="1"/>
  <c r="E12" i="1" s="1"/>
  <c r="L4" i="4"/>
  <c r="F18" i="1" s="1"/>
  <c r="Q7" i="6"/>
  <c r="P22" i="1"/>
  <c r="X8" i="1"/>
  <c r="Z8" i="1"/>
  <c r="P24" i="1"/>
  <c r="W8" i="1"/>
  <c r="P20" i="1"/>
  <c r="V8" i="1"/>
  <c r="Y8" i="1"/>
  <c r="P23" i="1"/>
  <c r="U8" i="1"/>
  <c r="T8" i="1"/>
  <c r="X15" i="1" a="1"/>
  <c r="R18" i="1"/>
  <c r="R22" i="1"/>
  <c r="R21" i="1"/>
  <c r="R4" i="1"/>
  <c r="R12" i="1" s="1"/>
  <c r="R7" i="1"/>
  <c r="R6" i="1"/>
  <c r="R5" i="1"/>
  <c r="Q7" i="1"/>
  <c r="Q6" i="1"/>
  <c r="Q5" i="1"/>
  <c r="S4" i="1"/>
  <c r="S12" i="1" s="1"/>
  <c r="S5" i="1"/>
  <c r="S7" i="1"/>
  <c r="S6" i="1"/>
  <c r="R20" i="1"/>
  <c r="R16" i="1"/>
  <c r="R17" i="1"/>
  <c r="R23" i="1"/>
  <c r="R24" i="1"/>
  <c r="R19" i="1"/>
  <c r="R15" i="1"/>
  <c r="Q4" i="1"/>
  <c r="Q12" i="1" s="1"/>
  <c r="H18" i="1" l="1"/>
  <c r="P18" i="1" s="1"/>
  <c r="T13" i="1"/>
  <c r="J20" i="1"/>
  <c r="J21" i="1"/>
  <c r="J24" i="1"/>
  <c r="J23" i="1"/>
  <c r="J22" i="1"/>
  <c r="J19" i="1"/>
  <c r="V15" i="1"/>
  <c r="X15" i="1"/>
  <c r="X21" i="1"/>
  <c r="X24" i="1"/>
  <c r="X19" i="1"/>
  <c r="X22" i="1"/>
  <c r="X16" i="1"/>
  <c r="X17" i="1"/>
  <c r="X20" i="1"/>
  <c r="X18" i="1"/>
  <c r="X23" i="1"/>
  <c r="AA18" i="1"/>
  <c r="S8" i="1"/>
  <c r="G11" i="1" s="1"/>
  <c r="H17" i="1" s="1"/>
  <c r="R8" i="1"/>
  <c r="F11" i="1" s="1"/>
  <c r="Q8" i="1"/>
  <c r="E11" i="1" s="1"/>
  <c r="J18" i="1" l="1"/>
  <c r="R13" i="1"/>
  <c r="H16" i="1"/>
  <c r="AA17" i="1"/>
  <c r="P17" i="1"/>
  <c r="S13" i="1"/>
  <c r="AA15" i="1"/>
  <c r="Q13" i="1"/>
  <c r="H15" i="1"/>
  <c r="V17" i="1"/>
  <c r="K2" i="6"/>
  <c r="K3" i="6" s="1"/>
  <c r="AA16" i="1"/>
  <c r="T15" i="1" a="1"/>
  <c r="V23" i="1"/>
  <c r="V24" i="1"/>
  <c r="V18" i="1"/>
  <c r="V16" i="1"/>
  <c r="V19" i="1"/>
  <c r="V21" i="1"/>
  <c r="V20" i="1"/>
  <c r="V22" i="1"/>
  <c r="P15" i="1" l="1"/>
  <c r="H25" i="1"/>
  <c r="E17" i="1"/>
  <c r="I15" i="1" s="1"/>
  <c r="J15" i="1"/>
  <c r="J17" i="1"/>
  <c r="P16" i="1"/>
  <c r="J16" i="1" s="1"/>
  <c r="T17" i="1"/>
  <c r="T15" i="1"/>
  <c r="T20" i="1"/>
  <c r="T18" i="1"/>
  <c r="T23" i="1"/>
  <c r="T19" i="1"/>
  <c r="T24" i="1"/>
  <c r="T16" i="1"/>
  <c r="T22" i="1"/>
  <c r="T21" i="1"/>
  <c r="J25" i="1" l="1"/>
  <c r="Q2" i="6"/>
  <c r="Q4" i="6" s="1"/>
  <c r="I25" i="1"/>
  <c r="P25" i="1"/>
  <c r="H26" i="1" l="1"/>
</calcChain>
</file>

<file path=xl/sharedStrings.xml><?xml version="1.0" encoding="utf-8"?>
<sst xmlns="http://schemas.openxmlformats.org/spreadsheetml/2006/main" count="103" uniqueCount="87">
  <si>
    <t>C20/25</t>
  </si>
  <si>
    <t>C25/30</t>
  </si>
  <si>
    <t>C30/37</t>
  </si>
  <si>
    <t>C35/45</t>
  </si>
  <si>
    <t>C40/50</t>
  </si>
  <si>
    <t>C16/20</t>
  </si>
  <si>
    <t>C45/55</t>
  </si>
  <si>
    <t>28 GÜNLÜK BASINÇ DAYANIMI (MPa)</t>
  </si>
  <si>
    <t xml:space="preserve">DENEY NO 1 </t>
  </si>
  <si>
    <t>DENEY NO 2</t>
  </si>
  <si>
    <t>DENEY NO 3</t>
  </si>
  <si>
    <t>DENEY NO 4</t>
  </si>
  <si>
    <t>DENEY NO 5</t>
  </si>
  <si>
    <t>DENEY NO 6</t>
  </si>
  <si>
    <t>DENEY NO 7</t>
  </si>
  <si>
    <t>DENEY NO 8</t>
  </si>
  <si>
    <t>DENEY NO 9</t>
  </si>
  <si>
    <t>Beton Sınıfını Seçin</t>
  </si>
  <si>
    <t>C50/60</t>
  </si>
  <si>
    <t>n (deney sayısı)</t>
  </si>
  <si>
    <t xml:space="preserve">1. Kriter </t>
  </si>
  <si>
    <t xml:space="preserve">2. Kriter </t>
  </si>
  <si>
    <t>n= 1</t>
  </si>
  <si>
    <t>n=2-4</t>
  </si>
  <si>
    <t>uygulanmaz</t>
  </si>
  <si>
    <t>DENEY NO</t>
  </si>
  <si>
    <t>Numune şekli</t>
  </si>
  <si>
    <t>150 mm'lik küp</t>
  </si>
  <si>
    <r>
      <t>f</t>
    </r>
    <r>
      <rPr>
        <b/>
        <vertAlign val="subscript"/>
        <sz val="11"/>
        <color theme="1"/>
        <rFont val="Calibri"/>
        <family val="2"/>
        <charset val="162"/>
        <scheme val="minor"/>
      </rPr>
      <t>ci</t>
    </r>
    <r>
      <rPr>
        <b/>
        <sz val="11"/>
        <color theme="1"/>
        <rFont val="Calibri"/>
        <family val="2"/>
        <charset val="162"/>
        <scheme val="minor"/>
      </rPr>
      <t xml:space="preserve"> ≥f</t>
    </r>
    <r>
      <rPr>
        <b/>
        <vertAlign val="subscript"/>
        <sz val="11"/>
        <color theme="1"/>
        <rFont val="Calibri"/>
        <family val="2"/>
        <charset val="162"/>
        <scheme val="minor"/>
      </rPr>
      <t>ck</t>
    </r>
    <r>
      <rPr>
        <b/>
        <sz val="11"/>
        <color theme="1"/>
        <rFont val="Calibri"/>
        <family val="2"/>
        <charset val="162"/>
        <scheme val="minor"/>
      </rPr>
      <t xml:space="preserve"> - 4  </t>
    </r>
  </si>
  <si>
    <r>
      <t>f</t>
    </r>
    <r>
      <rPr>
        <b/>
        <vertAlign val="subscript"/>
        <sz val="11"/>
        <color theme="1"/>
        <rFont val="Calibri"/>
        <family val="2"/>
        <charset val="162"/>
        <scheme val="minor"/>
      </rPr>
      <t>cm</t>
    </r>
    <r>
      <rPr>
        <b/>
        <sz val="11"/>
        <color theme="1"/>
        <rFont val="Calibri"/>
        <family val="2"/>
        <charset val="162"/>
        <scheme val="minor"/>
      </rPr>
      <t xml:space="preserve"> ≥ f</t>
    </r>
    <r>
      <rPr>
        <b/>
        <vertAlign val="subscript"/>
        <sz val="11"/>
        <color theme="1"/>
        <rFont val="Calibri"/>
        <family val="2"/>
        <charset val="162"/>
        <scheme val="minor"/>
      </rPr>
      <t>ck</t>
    </r>
    <r>
      <rPr>
        <b/>
        <sz val="11"/>
        <color theme="1"/>
        <rFont val="Calibri"/>
        <family val="2"/>
        <charset val="162"/>
        <scheme val="minor"/>
      </rPr>
      <t xml:space="preserve"> + 1 </t>
    </r>
  </si>
  <si>
    <r>
      <t>f</t>
    </r>
    <r>
      <rPr>
        <b/>
        <vertAlign val="subscript"/>
        <sz val="11"/>
        <color theme="1"/>
        <rFont val="Calibri"/>
        <family val="2"/>
        <charset val="162"/>
        <scheme val="minor"/>
      </rPr>
      <t>cm</t>
    </r>
    <r>
      <rPr>
        <b/>
        <sz val="11"/>
        <color theme="1"/>
        <rFont val="Calibri"/>
        <family val="2"/>
        <charset val="162"/>
        <scheme val="minor"/>
      </rPr>
      <t xml:space="preserve"> ≥ f</t>
    </r>
    <r>
      <rPr>
        <b/>
        <vertAlign val="subscript"/>
        <sz val="11"/>
        <color theme="1"/>
        <rFont val="Calibri"/>
        <family val="2"/>
        <charset val="162"/>
        <scheme val="minor"/>
      </rPr>
      <t>ck</t>
    </r>
    <r>
      <rPr>
        <b/>
        <sz val="11"/>
        <color theme="1"/>
        <rFont val="Calibri"/>
        <family val="2"/>
        <charset val="162"/>
        <scheme val="minor"/>
      </rPr>
      <t xml:space="preserve"> + 2</t>
    </r>
  </si>
  <si>
    <t>SONUÇ</t>
  </si>
  <si>
    <r>
      <t>f</t>
    </r>
    <r>
      <rPr>
        <b/>
        <i/>
        <vertAlign val="subscript"/>
        <sz val="14"/>
        <color theme="1"/>
        <rFont val="Calibri"/>
        <family val="2"/>
        <charset val="162"/>
        <scheme val="minor"/>
      </rPr>
      <t>ci</t>
    </r>
  </si>
  <si>
    <t>DENEY NO 10</t>
  </si>
  <si>
    <r>
      <t>f</t>
    </r>
    <r>
      <rPr>
        <b/>
        <vertAlign val="subscript"/>
        <sz val="11"/>
        <color theme="1"/>
        <rFont val="Calibri"/>
        <family val="2"/>
        <charset val="162"/>
        <scheme val="minor"/>
      </rPr>
      <t>ci</t>
    </r>
    <r>
      <rPr>
        <b/>
        <sz val="11"/>
        <color theme="1"/>
        <rFont val="Calibri"/>
        <family val="2"/>
        <charset val="162"/>
        <scheme val="minor"/>
      </rPr>
      <t xml:space="preserve"> ≥f</t>
    </r>
    <r>
      <rPr>
        <b/>
        <vertAlign val="subscript"/>
        <sz val="11"/>
        <color theme="1"/>
        <rFont val="Calibri"/>
        <family val="2"/>
        <charset val="162"/>
        <scheme val="minor"/>
      </rPr>
      <t>ck</t>
    </r>
    <r>
      <rPr>
        <b/>
        <sz val="11"/>
        <color theme="1"/>
        <rFont val="Calibri"/>
        <family val="2"/>
        <charset val="162"/>
        <scheme val="minor"/>
      </rPr>
      <t xml:space="preserve"> </t>
    </r>
  </si>
  <si>
    <t xml:space="preserve">HAZIRLAYAN: YASİN ENGİN (İnş.Yük.Müh)    </t>
  </si>
  <si>
    <t>SADECE SARI KUTULARA VERİ GİRİNİZ</t>
  </si>
  <si>
    <t>100 mm'lik küp</t>
  </si>
  <si>
    <t>150mm x 300mm silindir</t>
  </si>
  <si>
    <t>100mm x 200mm silindir</t>
  </si>
  <si>
    <r>
      <t>f</t>
    </r>
    <r>
      <rPr>
        <b/>
        <vertAlign val="subscript"/>
        <sz val="12"/>
        <color theme="1"/>
        <rFont val="Calibri"/>
        <family val="2"/>
        <charset val="162"/>
        <scheme val="minor"/>
      </rPr>
      <t>ck</t>
    </r>
    <r>
      <rPr>
        <b/>
        <sz val="12"/>
        <color theme="1"/>
        <rFont val="Calibri"/>
        <family val="2"/>
        <charset val="162"/>
        <scheme val="minor"/>
      </rPr>
      <t xml:space="preserve"> (MPa)</t>
    </r>
  </si>
  <si>
    <r>
      <t>f</t>
    </r>
    <r>
      <rPr>
        <b/>
        <vertAlign val="subscript"/>
        <sz val="12"/>
        <color theme="1"/>
        <rFont val="Calibri"/>
        <family val="2"/>
        <charset val="162"/>
        <scheme val="minor"/>
      </rPr>
      <t>cm</t>
    </r>
    <r>
      <rPr>
        <b/>
        <sz val="12"/>
        <color theme="1"/>
        <rFont val="Calibri"/>
        <family val="2"/>
        <charset val="162"/>
        <scheme val="minor"/>
      </rPr>
      <t xml:space="preserve"> (MPa)</t>
    </r>
  </si>
  <si>
    <r>
      <t>Üretim birimine giren beton miktarı (m</t>
    </r>
    <r>
      <rPr>
        <b/>
        <vertAlign val="superscript"/>
        <sz val="12"/>
        <color theme="1"/>
        <rFont val="Calibri"/>
        <family val="2"/>
        <charset val="162"/>
        <scheme val="minor"/>
      </rPr>
      <t>3</t>
    </r>
    <r>
      <rPr>
        <b/>
        <sz val="12"/>
        <color theme="1"/>
        <rFont val="Calibri"/>
        <family val="2"/>
        <charset val="162"/>
        <scheme val="minor"/>
      </rPr>
      <t>)</t>
    </r>
  </si>
  <si>
    <t>Dönüştürülmüş Dayanım (MPa)</t>
  </si>
  <si>
    <t>Beton dayanım sınıfı</t>
  </si>
  <si>
    <t>GENEL PARAMETRELER</t>
  </si>
  <si>
    <t>"n" adet deney sonucu ortalaması (fcm) (MPa)</t>
  </si>
  <si>
    <r>
      <t>n</t>
    </r>
    <r>
      <rPr>
        <b/>
        <sz val="11"/>
        <color theme="1"/>
        <rFont val="Calibri"/>
        <family val="2"/>
        <charset val="162"/>
      </rPr>
      <t>≥5</t>
    </r>
  </si>
  <si>
    <t>ORT.</t>
  </si>
  <si>
    <t>%15 sapma kriteri</t>
  </si>
  <si>
    <t>Performance Label</t>
  </si>
  <si>
    <t>Value</t>
  </si>
  <si>
    <t>Labels</t>
  </si>
  <si>
    <t>Values</t>
  </si>
  <si>
    <t>Pointer</t>
  </si>
  <si>
    <t>Thickness</t>
  </si>
  <si>
    <t>Rest</t>
  </si>
  <si>
    <t>Total</t>
  </si>
  <si>
    <t>MPa</t>
  </si>
  <si>
    <t>≥</t>
  </si>
  <si>
    <t xml:space="preserve">Beton miktarı verisi girildiğinde standarda göre asgari deney sayısı hesaplanır. </t>
  </si>
  <si>
    <t>Deney adedine göre kullanılacak kriterlerin bulunduğu hücre otomatik olarak renklenir.</t>
  </si>
  <si>
    <t>100 mm'lik küp ya da 100mmx200mm silindir numune kullanıldıysa sonuç gerekli katsayılar kullanılarak dönüştürülür.</t>
  </si>
  <si>
    <t>Tüm deneylerin ortalamasıdır. Eğer 100 mm'lik küp ya da 100mmx200mm silindir numune kullanıldıysa sonuç gerekli katsayılar kullanılarak dönüştürülür.</t>
  </si>
  <si>
    <t>Siyah çizgi deneylerin ortalamasını temsil etmektedir. Uygun olması için yeşil alanda yer almalıdır.</t>
  </si>
  <si>
    <t>2021 - V.2</t>
  </si>
  <si>
    <t xml:space="preserve">yasin.engin@gmail.com - www.betonvecimento.com </t>
  </si>
  <si>
    <t>AÇIKLAMALAR</t>
  </si>
  <si>
    <t>Deneyi oluşturan numunelerin arasındaki en büyük fark (maksimum değer - minimum değer) ortalamadan %15'den fazla sapıyorsa deney ya da bir gerekçe varsa numune sonucu iptal edilir. (Örneğin bir deneyi oluşturan 30 MPa, 33 MPa ve 36 MPa dayanım değeri veren 3 numunenin ortalaması 33 MPa'dır ve bu değerin %15'i 4,95 MPa'dır. Max (36) - min (30) ise 6 MPa'dır.</t>
  </si>
  <si>
    <t>evet</t>
  </si>
  <si>
    <t>hayır</t>
  </si>
  <si>
    <t>Numune şekli seçilir. Eğer standarda göre dayanım sınıfı için uygun olmayan bir numune şekli seçilirse uyarı notu belirir.</t>
  </si>
  <si>
    <t>Buraya veri girilmesi şart değildir. Ancak, veri girildiğinde deney sonucu adedinin standarda göre yeterli olup olmadığı öğrenilebilir.</t>
  </si>
  <si>
    <t>%15 sapma kriteri nedeniyle reddedilen sonuçlar listeye alınmas ve ilgili hücre kırmızı renk ile gösterilir.</t>
  </si>
  <si>
    <t>Kriter 1 ve Kriter 2 birlikte sağlandığında "UYGUN", herhangi biri ya da her ikisi sağlanmadığında "UYGUN DEĞİL" ibaresi çıkar.</t>
  </si>
  <si>
    <r>
      <t>%15 x f</t>
    </r>
    <r>
      <rPr>
        <b/>
        <i/>
        <vertAlign val="subscript"/>
        <sz val="12"/>
        <color theme="1"/>
        <rFont val="Calibri"/>
        <family val="2"/>
        <charset val="162"/>
        <scheme val="minor"/>
      </rPr>
      <t>ci</t>
    </r>
  </si>
  <si>
    <t>Herhangi tek deney sonucu  (fci) (MPa)</t>
  </si>
  <si>
    <r>
      <t>f</t>
    </r>
    <r>
      <rPr>
        <b/>
        <i/>
        <vertAlign val="subscript"/>
        <sz val="12"/>
        <color theme="1"/>
        <rFont val="Calibri"/>
        <family val="2"/>
        <charset val="162"/>
        <scheme val="minor"/>
      </rPr>
      <t>ti(maks</t>
    </r>
    <r>
      <rPr>
        <b/>
        <i/>
        <sz val="12"/>
        <color theme="1"/>
        <rFont val="Calibri"/>
        <family val="2"/>
        <charset val="162"/>
        <scheme val="minor"/>
      </rPr>
      <t>)- f</t>
    </r>
    <r>
      <rPr>
        <b/>
        <i/>
        <vertAlign val="subscript"/>
        <sz val="12"/>
        <color theme="1"/>
        <rFont val="Calibri"/>
        <family val="2"/>
        <charset val="162"/>
        <scheme val="minor"/>
      </rPr>
      <t>ti(min)</t>
    </r>
  </si>
  <si>
    <r>
      <t>1.numune (f</t>
    </r>
    <r>
      <rPr>
        <b/>
        <i/>
        <vertAlign val="subscript"/>
        <sz val="12"/>
        <color theme="1"/>
        <rFont val="Calibri"/>
        <family val="2"/>
        <charset val="162"/>
        <scheme val="minor"/>
      </rPr>
      <t>t1</t>
    </r>
    <r>
      <rPr>
        <b/>
        <i/>
        <sz val="12"/>
        <color theme="1"/>
        <rFont val="Calibri"/>
        <family val="2"/>
        <charset val="162"/>
        <scheme val="minor"/>
      </rPr>
      <t>)</t>
    </r>
  </si>
  <si>
    <r>
      <t>2.numune (f</t>
    </r>
    <r>
      <rPr>
        <b/>
        <i/>
        <vertAlign val="subscript"/>
        <sz val="12"/>
        <color theme="1"/>
        <rFont val="Calibri"/>
        <family val="2"/>
        <charset val="162"/>
        <scheme val="minor"/>
      </rPr>
      <t>t2</t>
    </r>
    <r>
      <rPr>
        <b/>
        <i/>
        <sz val="12"/>
        <color theme="1"/>
        <rFont val="Calibri"/>
        <family val="2"/>
        <charset val="162"/>
        <scheme val="minor"/>
      </rPr>
      <t>)</t>
    </r>
  </si>
  <si>
    <r>
      <t>3.numune (f</t>
    </r>
    <r>
      <rPr>
        <b/>
        <i/>
        <vertAlign val="subscript"/>
        <sz val="12"/>
        <color theme="1"/>
        <rFont val="Calibri"/>
        <family val="2"/>
        <charset val="162"/>
        <scheme val="minor"/>
      </rPr>
      <t>t3</t>
    </r>
    <r>
      <rPr>
        <b/>
        <i/>
        <sz val="12"/>
        <color theme="1"/>
        <rFont val="Calibri"/>
        <family val="2"/>
        <charset val="162"/>
        <scheme val="minor"/>
      </rPr>
      <t>)</t>
    </r>
  </si>
  <si>
    <t>yeni</t>
  </si>
  <si>
    <t>eski</t>
  </si>
  <si>
    <t>TS 13515:2021 EK B1'E GÖRE BETON NİTELİK DENETİMİ</t>
  </si>
  <si>
    <t>TS 13515:2021 EK B1'E GÖRE NUMUNE ALMA PLANI</t>
  </si>
  <si>
    <t>ORTALAMA</t>
  </si>
  <si>
    <t>Alınması gereken numune adedi (28 günlük)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</si>
</sst>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8" x14ac:knownFonts="1">
    <font>
      <sz val="11"/>
      <color theme="1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8"/>
      <color theme="1"/>
      <name val="Calibri"/>
      <family val="2"/>
      <charset val="162"/>
      <scheme val="minor"/>
    </font>
    <font>
      <b/>
      <sz val="14"/>
      <color theme="0"/>
      <name val="Calibri"/>
      <family val="2"/>
      <charset val="162"/>
      <scheme val="minor"/>
    </font>
    <font>
      <b/>
      <sz val="10"/>
      <color theme="1"/>
      <name val="Calibri"/>
      <family val="2"/>
      <charset val="162"/>
      <scheme val="minor"/>
    </font>
    <font>
      <b/>
      <i/>
      <sz val="12"/>
      <color theme="1"/>
      <name val="Calibri"/>
      <family val="2"/>
      <charset val="162"/>
      <scheme val="minor"/>
    </font>
    <font>
      <b/>
      <i/>
      <sz val="14"/>
      <color theme="1"/>
      <name val="Calibri"/>
      <family val="2"/>
      <charset val="162"/>
      <scheme val="minor"/>
    </font>
    <font>
      <b/>
      <i/>
      <vertAlign val="subscript"/>
      <sz val="14"/>
      <color theme="1"/>
      <name val="Calibri"/>
      <family val="2"/>
      <charset val="162"/>
      <scheme val="minor"/>
    </font>
    <font>
      <b/>
      <i/>
      <sz val="8"/>
      <color theme="0"/>
      <name val="Calibri"/>
      <family val="2"/>
      <charset val="162"/>
      <scheme val="minor"/>
    </font>
    <font>
      <b/>
      <sz val="12"/>
      <color theme="0"/>
      <name val="Calibri"/>
      <family val="2"/>
      <charset val="162"/>
      <scheme val="minor"/>
    </font>
    <font>
      <b/>
      <vertAlign val="subscript"/>
      <sz val="11"/>
      <color theme="1"/>
      <name val="Calibri"/>
      <family val="2"/>
      <charset val="162"/>
      <scheme val="minor"/>
    </font>
    <font>
      <b/>
      <sz val="12"/>
      <color theme="1"/>
      <name val="Calibri"/>
      <family val="2"/>
      <charset val="162"/>
      <scheme val="minor"/>
    </font>
    <font>
      <b/>
      <sz val="12"/>
      <color rgb="FFFF0000"/>
      <name val="Calibri"/>
      <family val="2"/>
      <charset val="162"/>
      <scheme val="minor"/>
    </font>
    <font>
      <b/>
      <i/>
      <sz val="16"/>
      <color rgb="FFFF0000"/>
      <name val="Calibri"/>
      <family val="2"/>
      <charset val="162"/>
      <scheme val="minor"/>
    </font>
    <font>
      <b/>
      <sz val="16"/>
      <color theme="0"/>
      <name val="Calibri"/>
      <family val="2"/>
      <charset val="162"/>
      <scheme val="minor"/>
    </font>
    <font>
      <b/>
      <i/>
      <sz val="11"/>
      <color theme="1"/>
      <name val="Calibri"/>
      <family val="2"/>
      <charset val="162"/>
      <scheme val="minor"/>
    </font>
    <font>
      <b/>
      <i/>
      <sz val="11"/>
      <color rgb="FFFF0000"/>
      <name val="Calibri"/>
      <family val="2"/>
      <charset val="162"/>
      <scheme val="minor"/>
    </font>
    <font>
      <u/>
      <sz val="11"/>
      <color theme="10"/>
      <name val="Calibri"/>
      <family val="2"/>
      <charset val="162"/>
      <scheme val="minor"/>
    </font>
    <font>
      <b/>
      <u/>
      <sz val="14"/>
      <color theme="0"/>
      <name val="Calibri"/>
      <family val="2"/>
      <charset val="162"/>
      <scheme val="minor"/>
    </font>
    <font>
      <b/>
      <vertAlign val="subscript"/>
      <sz val="12"/>
      <color theme="1"/>
      <name val="Calibri"/>
      <family val="2"/>
      <charset val="162"/>
      <scheme val="minor"/>
    </font>
    <font>
      <b/>
      <vertAlign val="superscript"/>
      <sz val="12"/>
      <color theme="1"/>
      <name val="Calibri"/>
      <family val="2"/>
      <charset val="162"/>
      <scheme val="minor"/>
    </font>
    <font>
      <sz val="8"/>
      <name val="Calibri"/>
      <family val="2"/>
      <charset val="162"/>
      <scheme val="minor"/>
    </font>
    <font>
      <b/>
      <i/>
      <sz val="11"/>
      <color theme="0"/>
      <name val="Calibri"/>
      <family val="2"/>
      <charset val="162"/>
      <scheme val="minor"/>
    </font>
    <font>
      <b/>
      <sz val="9"/>
      <color theme="0"/>
      <name val="Calibri"/>
      <family val="2"/>
      <charset val="162"/>
      <scheme val="minor"/>
    </font>
    <font>
      <b/>
      <sz val="11"/>
      <color theme="1"/>
      <name val="Calibri"/>
      <family val="2"/>
      <charset val="16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FF0000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b/>
      <i/>
      <vertAlign val="subscript"/>
      <sz val="12"/>
      <color theme="1"/>
      <name val="Calibri"/>
      <family val="2"/>
      <charset val="162"/>
      <scheme val="minor"/>
    </font>
    <font>
      <b/>
      <i/>
      <sz val="11"/>
      <color rgb="FF002060"/>
      <name val="Calibri"/>
      <family val="2"/>
      <charset val="162"/>
      <scheme val="minor"/>
    </font>
    <font>
      <b/>
      <i/>
      <sz val="14"/>
      <color rgb="FF002060"/>
      <name val="Calibri"/>
      <family val="2"/>
      <charset val="162"/>
      <scheme val="minor"/>
    </font>
    <font>
      <sz val="11"/>
      <color theme="0"/>
      <name val="Calibri"/>
      <family val="2"/>
      <charset val="162"/>
    </font>
    <font>
      <b/>
      <sz val="16"/>
      <color rgb="FF002060"/>
      <name val="Calibri"/>
      <family val="2"/>
      <charset val="162"/>
      <scheme val="minor"/>
    </font>
    <font>
      <b/>
      <sz val="10"/>
      <color theme="0"/>
      <name val="Calibri"/>
      <family val="2"/>
      <charset val="162"/>
      <scheme val="minor"/>
    </font>
    <font>
      <b/>
      <sz val="18"/>
      <color rgb="FFFF0000"/>
      <name val="Calibri"/>
      <family val="2"/>
      <charset val="16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-0.249977111117893"/>
        <bgColor indexed="64"/>
      </patternFill>
    </fill>
  </fills>
  <borders count="47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8" fillId="0" borderId="0" applyNumberFormat="0" applyFill="0" applyBorder="0" applyAlignment="0" applyProtection="0"/>
    <xf numFmtId="0" fontId="26" fillId="0" borderId="0"/>
  </cellStyleXfs>
  <cellXfs count="163">
    <xf numFmtId="0" fontId="0" fillId="0" borderId="0" xfId="0"/>
    <xf numFmtId="0" fontId="3" fillId="2" borderId="1" xfId="0" applyFont="1" applyFill="1" applyBorder="1"/>
    <xf numFmtId="0" fontId="3" fillId="2" borderId="2" xfId="0" applyFont="1" applyFill="1" applyBorder="1"/>
    <xf numFmtId="0" fontId="3" fillId="2" borderId="0" xfId="0" applyFont="1" applyFill="1"/>
    <xf numFmtId="0" fontId="3" fillId="0" borderId="0" xfId="0" applyFont="1" applyFill="1" applyBorder="1"/>
    <xf numFmtId="0" fontId="0" fillId="0" borderId="0" xfId="0" applyAlignment="1">
      <alignment horizontal="center"/>
    </xf>
    <xf numFmtId="0" fontId="10" fillId="4" borderId="0" xfId="0" applyFont="1" applyFill="1" applyBorder="1" applyAlignment="1">
      <alignment vertical="center"/>
    </xf>
    <xf numFmtId="0" fontId="0" fillId="0" borderId="12" xfId="0" applyBorder="1"/>
    <xf numFmtId="0" fontId="0" fillId="0" borderId="14" xfId="0" applyBorder="1"/>
    <xf numFmtId="0" fontId="0" fillId="0" borderId="9" xfId="0" applyBorder="1"/>
    <xf numFmtId="0" fontId="0" fillId="0" borderId="15" xfId="0" applyBorder="1"/>
    <xf numFmtId="0" fontId="0" fillId="0" borderId="0" xfId="0" applyBorder="1"/>
    <xf numFmtId="0" fontId="0" fillId="0" borderId="1" xfId="0" applyBorder="1"/>
    <xf numFmtId="0" fontId="0" fillId="0" borderId="16" xfId="0" applyBorder="1"/>
    <xf numFmtId="0" fontId="0" fillId="0" borderId="17" xfId="0" applyBorder="1"/>
    <xf numFmtId="0" fontId="0" fillId="0" borderId="2" xfId="0" applyBorder="1"/>
    <xf numFmtId="0" fontId="2" fillId="0" borderId="0" xfId="0" applyFont="1" applyBorder="1" applyAlignment="1">
      <alignment horizontal="center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6" fillId="0" borderId="0" xfId="0" applyFont="1" applyBorder="1" applyAlignment="1">
      <alignment horizontal="left" vertical="center"/>
    </xf>
    <xf numFmtId="0" fontId="6" fillId="0" borderId="0" xfId="0" applyFont="1" applyFill="1" applyBorder="1" applyAlignment="1">
      <alignment horizontal="center" vertical="center"/>
    </xf>
    <xf numFmtId="0" fontId="5" fillId="7" borderId="9" xfId="0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2" fillId="7" borderId="30" xfId="0" applyFont="1" applyFill="1" applyBorder="1" applyAlignment="1">
      <alignment horizontal="center" vertical="center"/>
    </xf>
    <xf numFmtId="0" fontId="2" fillId="7" borderId="31" xfId="0" applyFont="1" applyFill="1" applyBorder="1" applyAlignment="1">
      <alignment horizontal="center" vertical="center"/>
    </xf>
    <xf numFmtId="0" fontId="2" fillId="7" borderId="32" xfId="0" applyFont="1" applyFill="1" applyBorder="1" applyAlignment="1">
      <alignment horizontal="center" vertical="center"/>
    </xf>
    <xf numFmtId="0" fontId="5" fillId="7" borderId="10" xfId="0" applyFont="1" applyFill="1" applyBorder="1" applyAlignment="1">
      <alignment horizontal="center" vertical="center"/>
    </xf>
    <xf numFmtId="0" fontId="23" fillId="6" borderId="19" xfId="0" applyFont="1" applyFill="1" applyBorder="1" applyAlignment="1">
      <alignment horizontal="center" vertical="center" wrapText="1"/>
    </xf>
    <xf numFmtId="0" fontId="1" fillId="6" borderId="24" xfId="0" applyFont="1" applyFill="1" applyBorder="1" applyAlignment="1">
      <alignment horizontal="center" vertical="center" wrapText="1"/>
    </xf>
    <xf numFmtId="0" fontId="24" fillId="6" borderId="6" xfId="0" applyFont="1" applyFill="1" applyBorder="1" applyAlignment="1">
      <alignment horizontal="center" vertical="center" wrapText="1"/>
    </xf>
    <xf numFmtId="0" fontId="24" fillId="6" borderId="7" xfId="0" applyFont="1" applyFill="1" applyBorder="1" applyAlignment="1">
      <alignment horizontal="center" vertical="center" wrapText="1"/>
    </xf>
    <xf numFmtId="0" fontId="10" fillId="6" borderId="26" xfId="0" applyFont="1" applyFill="1" applyBorder="1" applyAlignment="1">
      <alignment horizontal="center" vertical="center"/>
    </xf>
    <xf numFmtId="0" fontId="10" fillId="6" borderId="7" xfId="0" applyFont="1" applyFill="1" applyBorder="1" applyAlignment="1">
      <alignment horizontal="center" vertical="center"/>
    </xf>
    <xf numFmtId="0" fontId="17" fillId="0" borderId="0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5" fillId="7" borderId="35" xfId="0" applyFont="1" applyFill="1" applyBorder="1" applyAlignment="1">
      <alignment horizontal="center" vertical="center"/>
    </xf>
    <xf numFmtId="0" fontId="5" fillId="7" borderId="33" xfId="0" applyFont="1" applyFill="1" applyBorder="1" applyAlignment="1">
      <alignment horizontal="center" vertical="center"/>
    </xf>
    <xf numFmtId="0" fontId="5" fillId="7" borderId="37" xfId="0" applyFont="1" applyFill="1" applyBorder="1" applyAlignment="1">
      <alignment horizontal="center" vertical="center"/>
    </xf>
    <xf numFmtId="164" fontId="5" fillId="0" borderId="30" xfId="0" applyNumberFormat="1" applyFont="1" applyFill="1" applyBorder="1" applyAlignment="1">
      <alignment horizontal="center" vertical="center"/>
    </xf>
    <xf numFmtId="164" fontId="5" fillId="0" borderId="38" xfId="0" applyNumberFormat="1" applyFont="1" applyFill="1" applyBorder="1" applyAlignment="1">
      <alignment horizontal="center" vertical="center"/>
    </xf>
    <xf numFmtId="164" fontId="5" fillId="0" borderId="11" xfId="0" applyNumberFormat="1" applyFont="1" applyFill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164" fontId="6" fillId="0" borderId="31" xfId="0" applyNumberFormat="1" applyFont="1" applyBorder="1" applyAlignment="1">
      <alignment horizontal="center" vertical="center"/>
    </xf>
    <xf numFmtId="0" fontId="6" fillId="0" borderId="32" xfId="0" applyFont="1" applyFill="1" applyBorder="1" applyAlignment="1">
      <alignment horizontal="center" vertical="center"/>
    </xf>
    <xf numFmtId="0" fontId="2" fillId="4" borderId="29" xfId="0" applyFont="1" applyFill="1" applyBorder="1" applyAlignment="1">
      <alignment horizontal="center" vertical="center"/>
    </xf>
    <xf numFmtId="0" fontId="2" fillId="4" borderId="33" xfId="0" applyFont="1" applyFill="1" applyBorder="1" applyAlignment="1">
      <alignment horizontal="center" vertical="center"/>
    </xf>
    <xf numFmtId="0" fontId="2" fillId="4" borderId="40" xfId="0" applyFont="1" applyFill="1" applyBorder="1" applyAlignment="1">
      <alignment horizontal="center" vertical="center"/>
    </xf>
    <xf numFmtId="0" fontId="2" fillId="4" borderId="30" xfId="0" applyFont="1" applyFill="1" applyBorder="1" applyAlignment="1">
      <alignment horizontal="center" vertical="center"/>
    </xf>
    <xf numFmtId="0" fontId="2" fillId="4" borderId="31" xfId="0" applyFont="1" applyFill="1" applyBorder="1" applyAlignment="1">
      <alignment horizontal="center" vertical="center"/>
    </xf>
    <xf numFmtId="0" fontId="2" fillId="4" borderId="32" xfId="0" applyFont="1" applyFill="1" applyBorder="1" applyAlignment="1">
      <alignment horizontal="center" vertical="center"/>
    </xf>
    <xf numFmtId="0" fontId="27" fillId="8" borderId="41" xfId="2" applyFont="1" applyFill="1" applyBorder="1" applyAlignment="1">
      <alignment horizontal="center" vertical="center"/>
    </xf>
    <xf numFmtId="0" fontId="27" fillId="8" borderId="42" xfId="2" applyFont="1" applyFill="1" applyBorder="1" applyAlignment="1">
      <alignment horizontal="center" vertical="center"/>
    </xf>
    <xf numFmtId="0" fontId="26" fillId="0" borderId="0" xfId="2"/>
    <xf numFmtId="0" fontId="27" fillId="8" borderId="41" xfId="2" applyFont="1" applyFill="1" applyBorder="1" applyAlignment="1">
      <alignment horizontal="left" vertical="center"/>
    </xf>
    <xf numFmtId="0" fontId="26" fillId="0" borderId="13" xfId="2" applyBorder="1" applyAlignment="1">
      <alignment horizontal="center"/>
    </xf>
    <xf numFmtId="0" fontId="26" fillId="0" borderId="34" xfId="2" applyBorder="1" applyAlignment="1">
      <alignment horizontal="center"/>
    </xf>
    <xf numFmtId="0" fontId="28" fillId="3" borderId="8" xfId="2" applyFont="1" applyFill="1" applyBorder="1"/>
    <xf numFmtId="0" fontId="26" fillId="3" borderId="8" xfId="2" applyFill="1" applyBorder="1"/>
    <xf numFmtId="0" fontId="28" fillId="9" borderId="8" xfId="2" applyFont="1" applyFill="1" applyBorder="1"/>
    <xf numFmtId="0" fontId="26" fillId="9" borderId="8" xfId="2" applyFill="1" applyBorder="1"/>
    <xf numFmtId="0" fontId="28" fillId="10" borderId="8" xfId="2" applyFont="1" applyFill="1" applyBorder="1"/>
    <xf numFmtId="0" fontId="26" fillId="10" borderId="8" xfId="2" applyFill="1" applyBorder="1"/>
    <xf numFmtId="0" fontId="16" fillId="11" borderId="31" xfId="0" applyFont="1" applyFill="1" applyBorder="1" applyAlignment="1" applyProtection="1">
      <alignment horizontal="center" vertical="center" wrapText="1"/>
      <protection locked="0"/>
    </xf>
    <xf numFmtId="0" fontId="6" fillId="11" borderId="31" xfId="0" applyFont="1" applyFill="1" applyBorder="1" applyAlignment="1" applyProtection="1">
      <alignment horizontal="center" vertical="center"/>
      <protection locked="0"/>
    </xf>
    <xf numFmtId="164" fontId="6" fillId="11" borderId="18" xfId="0" applyNumberFormat="1" applyFont="1" applyFill="1" applyBorder="1" applyAlignment="1" applyProtection="1">
      <alignment horizontal="center" vertical="center"/>
      <protection locked="0"/>
    </xf>
    <xf numFmtId="164" fontId="6" fillId="11" borderId="19" xfId="0" applyNumberFormat="1" applyFont="1" applyFill="1" applyBorder="1" applyAlignment="1" applyProtection="1">
      <alignment horizontal="center" vertical="center"/>
      <protection locked="0"/>
    </xf>
    <xf numFmtId="164" fontId="6" fillId="11" borderId="20" xfId="0" applyNumberFormat="1" applyFont="1" applyFill="1" applyBorder="1" applyAlignment="1" applyProtection="1">
      <alignment horizontal="center" vertical="center"/>
      <protection locked="0"/>
    </xf>
    <xf numFmtId="164" fontId="6" fillId="11" borderId="21" xfId="0" applyNumberFormat="1" applyFont="1" applyFill="1" applyBorder="1" applyAlignment="1" applyProtection="1">
      <alignment horizontal="center" vertical="center"/>
      <protection locked="0"/>
    </xf>
    <xf numFmtId="164" fontId="6" fillId="11" borderId="8" xfId="0" applyNumberFormat="1" applyFont="1" applyFill="1" applyBorder="1" applyAlignment="1" applyProtection="1">
      <alignment horizontal="center" vertical="center"/>
      <protection locked="0"/>
    </xf>
    <xf numFmtId="164" fontId="6" fillId="11" borderId="22" xfId="0" applyNumberFormat="1" applyFont="1" applyFill="1" applyBorder="1" applyAlignment="1" applyProtection="1">
      <alignment horizontal="center" vertical="center"/>
      <protection locked="0"/>
    </xf>
    <xf numFmtId="164" fontId="6" fillId="11" borderId="23" xfId="0" applyNumberFormat="1" applyFont="1" applyFill="1" applyBorder="1" applyAlignment="1" applyProtection="1">
      <alignment horizontal="center" vertical="center"/>
      <protection locked="0"/>
    </xf>
    <xf numFmtId="164" fontId="6" fillId="11" borderId="24" xfId="0" applyNumberFormat="1" applyFont="1" applyFill="1" applyBorder="1" applyAlignment="1" applyProtection="1">
      <alignment horizontal="center" vertical="center"/>
      <protection locked="0"/>
    </xf>
    <xf numFmtId="164" fontId="6" fillId="11" borderId="25" xfId="0" applyNumberFormat="1" applyFont="1" applyFill="1" applyBorder="1" applyAlignment="1" applyProtection="1">
      <alignment horizontal="center" vertical="center"/>
      <protection locked="0"/>
    </xf>
    <xf numFmtId="0" fontId="13" fillId="0" borderId="0" xfId="0" applyFont="1" applyAlignment="1">
      <alignment horizontal="right" vertical="center"/>
    </xf>
    <xf numFmtId="0" fontId="17" fillId="0" borderId="0" xfId="0" applyFont="1" applyBorder="1" applyAlignment="1">
      <alignment vertical="center"/>
    </xf>
    <xf numFmtId="0" fontId="9" fillId="0" borderId="16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164" fontId="6" fillId="7" borderId="21" xfId="0" applyNumberFormat="1" applyFont="1" applyFill="1" applyBorder="1" applyAlignment="1">
      <alignment horizontal="center" vertical="center"/>
    </xf>
    <xf numFmtId="164" fontId="6" fillId="7" borderId="8" xfId="0" applyNumberFormat="1" applyFont="1" applyFill="1" applyBorder="1" applyAlignment="1">
      <alignment horizontal="center" vertical="center"/>
    </xf>
    <xf numFmtId="164" fontId="6" fillId="7" borderId="22" xfId="0" applyNumberFormat="1" applyFont="1" applyFill="1" applyBorder="1" applyAlignment="1">
      <alignment horizontal="center" vertical="center"/>
    </xf>
    <xf numFmtId="164" fontId="6" fillId="7" borderId="23" xfId="0" applyNumberFormat="1" applyFont="1" applyFill="1" applyBorder="1" applyAlignment="1">
      <alignment horizontal="center" vertical="center"/>
    </xf>
    <xf numFmtId="164" fontId="6" fillId="7" borderId="24" xfId="0" applyNumberFormat="1" applyFont="1" applyFill="1" applyBorder="1" applyAlignment="1">
      <alignment horizontal="center" vertical="center"/>
    </xf>
    <xf numFmtId="164" fontId="6" fillId="7" borderId="25" xfId="0" applyNumberFormat="1" applyFont="1" applyFill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164" fontId="33" fillId="7" borderId="44" xfId="0" applyNumberFormat="1" applyFont="1" applyFill="1" applyBorder="1" applyAlignment="1">
      <alignment horizontal="center" vertical="center"/>
    </xf>
    <xf numFmtId="164" fontId="33" fillId="7" borderId="45" xfId="0" applyNumberFormat="1" applyFont="1" applyFill="1" applyBorder="1" applyAlignment="1">
      <alignment horizontal="center" vertical="center"/>
    </xf>
    <xf numFmtId="164" fontId="33" fillId="7" borderId="46" xfId="0" applyNumberFormat="1" applyFont="1" applyFill="1" applyBorder="1" applyAlignment="1">
      <alignment horizontal="center" vertical="center"/>
    </xf>
    <xf numFmtId="0" fontId="30" fillId="0" borderId="0" xfId="0" applyFont="1"/>
    <xf numFmtId="164" fontId="30" fillId="0" borderId="0" xfId="0" applyNumberFormat="1" applyFont="1" applyAlignment="1">
      <alignment horizontal="center" vertical="center"/>
    </xf>
    <xf numFmtId="0" fontId="30" fillId="0" borderId="0" xfId="0" applyFont="1" applyAlignment="1">
      <alignment horizontal="center" vertical="center"/>
    </xf>
    <xf numFmtId="164" fontId="30" fillId="0" borderId="0" xfId="0" applyNumberFormat="1" applyFont="1"/>
    <xf numFmtId="0" fontId="34" fillId="0" borderId="0" xfId="0" applyFont="1"/>
    <xf numFmtId="0" fontId="32" fillId="0" borderId="0" xfId="0" applyFont="1" applyBorder="1" applyAlignment="1">
      <alignment vertical="center"/>
    </xf>
    <xf numFmtId="164" fontId="2" fillId="0" borderId="10" xfId="0" applyNumberFormat="1" applyFont="1" applyBorder="1" applyAlignment="1">
      <alignment horizontal="center" vertical="center" wrapText="1"/>
    </xf>
    <xf numFmtId="0" fontId="36" fillId="12" borderId="6" xfId="0" applyFont="1" applyFill="1" applyBorder="1" applyAlignment="1">
      <alignment horizontal="center" vertical="center"/>
    </xf>
    <xf numFmtId="0" fontId="15" fillId="5" borderId="6" xfId="0" applyFont="1" applyFill="1" applyBorder="1" applyAlignment="1">
      <alignment horizontal="center" vertical="center"/>
    </xf>
    <xf numFmtId="0" fontId="29" fillId="0" borderId="0" xfId="0" applyFont="1" applyAlignment="1">
      <alignment horizontal="left"/>
    </xf>
    <xf numFmtId="0" fontId="12" fillId="11" borderId="3" xfId="0" applyFont="1" applyFill="1" applyBorder="1" applyAlignment="1">
      <alignment horizontal="center"/>
    </xf>
    <xf numFmtId="0" fontId="12" fillId="11" borderId="4" xfId="0" applyFont="1" applyFill="1" applyBorder="1" applyAlignment="1">
      <alignment horizontal="center"/>
    </xf>
    <xf numFmtId="0" fontId="12" fillId="11" borderId="5" xfId="0" applyFont="1" applyFill="1" applyBorder="1" applyAlignment="1">
      <alignment horizontal="center"/>
    </xf>
    <xf numFmtId="0" fontId="4" fillId="6" borderId="12" xfId="0" applyFont="1" applyFill="1" applyBorder="1" applyAlignment="1">
      <alignment horizontal="center" vertical="center"/>
    </xf>
    <xf numFmtId="0" fontId="4" fillId="6" borderId="14" xfId="0" applyFont="1" applyFill="1" applyBorder="1" applyAlignment="1">
      <alignment horizontal="center" vertical="center"/>
    </xf>
    <xf numFmtId="0" fontId="4" fillId="6" borderId="9" xfId="0" applyFont="1" applyFill="1" applyBorder="1" applyAlignment="1">
      <alignment horizontal="center" vertical="center"/>
    </xf>
    <xf numFmtId="0" fontId="4" fillId="6" borderId="16" xfId="0" applyFont="1" applyFill="1" applyBorder="1" applyAlignment="1">
      <alignment horizontal="center" vertical="center"/>
    </xf>
    <xf numFmtId="0" fontId="4" fillId="6" borderId="17" xfId="0" applyFont="1" applyFill="1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0" fontId="19" fillId="6" borderId="3" xfId="1" applyFont="1" applyFill="1" applyBorder="1" applyAlignment="1">
      <alignment horizontal="center"/>
    </xf>
    <xf numFmtId="0" fontId="19" fillId="6" borderId="4" xfId="1" applyFont="1" applyFill="1" applyBorder="1" applyAlignment="1">
      <alignment horizontal="center"/>
    </xf>
    <xf numFmtId="0" fontId="19" fillId="6" borderId="5" xfId="1" applyFont="1" applyFill="1" applyBorder="1" applyAlignment="1">
      <alignment horizontal="center"/>
    </xf>
    <xf numFmtId="0" fontId="16" fillId="7" borderId="3" xfId="0" applyFont="1" applyFill="1" applyBorder="1" applyAlignment="1">
      <alignment horizontal="center" vertical="center"/>
    </xf>
    <xf numFmtId="0" fontId="16" fillId="7" borderId="5" xfId="0" applyFont="1" applyFill="1" applyBorder="1" applyAlignment="1">
      <alignment horizontal="center" vertical="center"/>
    </xf>
    <xf numFmtId="0" fontId="29" fillId="0" borderId="43" xfId="0" applyFont="1" applyBorder="1" applyAlignment="1">
      <alignment horizontal="center" vertical="center"/>
    </xf>
    <xf numFmtId="0" fontId="2" fillId="0" borderId="13" xfId="0" applyFont="1" applyBorder="1" applyAlignment="1">
      <alignment horizontal="left" vertical="center"/>
    </xf>
    <xf numFmtId="0" fontId="2" fillId="0" borderId="39" xfId="0" applyFont="1" applyBorder="1" applyAlignment="1">
      <alignment horizontal="left" vertical="center"/>
    </xf>
    <xf numFmtId="0" fontId="2" fillId="0" borderId="34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 wrapText="1"/>
    </xf>
    <xf numFmtId="0" fontId="12" fillId="7" borderId="21" xfId="0" applyFont="1" applyFill="1" applyBorder="1" applyAlignment="1">
      <alignment horizontal="left" vertical="center"/>
    </xf>
    <xf numFmtId="0" fontId="12" fillId="7" borderId="13" xfId="0" applyFont="1" applyFill="1" applyBorder="1" applyAlignment="1">
      <alignment horizontal="left" vertical="center"/>
    </xf>
    <xf numFmtId="0" fontId="6" fillId="7" borderId="21" xfId="0" applyFont="1" applyFill="1" applyBorder="1" applyAlignment="1">
      <alignment horizontal="right" vertical="center"/>
    </xf>
    <xf numFmtId="0" fontId="6" fillId="7" borderId="13" xfId="0" applyFont="1" applyFill="1" applyBorder="1" applyAlignment="1">
      <alignment horizontal="right" vertical="center"/>
    </xf>
    <xf numFmtId="0" fontId="6" fillId="7" borderId="23" xfId="0" applyFont="1" applyFill="1" applyBorder="1" applyAlignment="1">
      <alignment horizontal="right" vertical="center"/>
    </xf>
    <xf numFmtId="0" fontId="6" fillId="7" borderId="28" xfId="0" applyFont="1" applyFill="1" applyBorder="1" applyAlignment="1">
      <alignment horizontal="right" vertical="center"/>
    </xf>
    <xf numFmtId="0" fontId="37" fillId="0" borderId="3" xfId="0" applyFont="1" applyBorder="1" applyAlignment="1">
      <alignment horizontal="center" vertical="center" wrapText="1"/>
    </xf>
    <xf numFmtId="0" fontId="37" fillId="0" borderId="4" xfId="0" applyFont="1" applyBorder="1" applyAlignment="1">
      <alignment horizontal="center" vertical="center" wrapText="1"/>
    </xf>
    <xf numFmtId="0" fontId="37" fillId="0" borderId="5" xfId="0" applyFont="1" applyBorder="1" applyAlignment="1">
      <alignment horizontal="center" vertical="center" wrapText="1"/>
    </xf>
    <xf numFmtId="0" fontId="35" fillId="0" borderId="17" xfId="0" applyFont="1" applyBorder="1" applyAlignment="1">
      <alignment horizontal="center" vertical="center"/>
    </xf>
    <xf numFmtId="0" fontId="12" fillId="7" borderId="33" xfId="0" applyFont="1" applyFill="1" applyBorder="1" applyAlignment="1">
      <alignment horizontal="left" vertical="center"/>
    </xf>
    <xf numFmtId="0" fontId="12" fillId="7" borderId="39" xfId="0" applyFont="1" applyFill="1" applyBorder="1" applyAlignment="1">
      <alignment horizontal="left" vertical="center"/>
    </xf>
    <xf numFmtId="0" fontId="16" fillId="0" borderId="0" xfId="0" applyFont="1" applyBorder="1" applyAlignment="1">
      <alignment horizontal="center" vertical="center"/>
    </xf>
    <xf numFmtId="0" fontId="12" fillId="7" borderId="21" xfId="0" applyFont="1" applyFill="1" applyBorder="1" applyAlignment="1">
      <alignment horizontal="left" vertical="center" wrapText="1"/>
    </xf>
    <xf numFmtId="0" fontId="12" fillId="7" borderId="13" xfId="0" applyFont="1" applyFill="1" applyBorder="1" applyAlignment="1">
      <alignment horizontal="left" vertical="center" wrapText="1"/>
    </xf>
    <xf numFmtId="0" fontId="12" fillId="7" borderId="23" xfId="0" applyFont="1" applyFill="1" applyBorder="1" applyAlignment="1">
      <alignment horizontal="left" vertical="center" wrapText="1"/>
    </xf>
    <xf numFmtId="0" fontId="12" fillId="7" borderId="28" xfId="0" applyFont="1" applyFill="1" applyBorder="1" applyAlignment="1">
      <alignment horizontal="left" vertical="center" wrapText="1"/>
    </xf>
    <xf numFmtId="0" fontId="6" fillId="7" borderId="18" xfId="0" applyFont="1" applyFill="1" applyBorder="1" applyAlignment="1">
      <alignment horizontal="center" vertical="center"/>
    </xf>
    <xf numFmtId="0" fontId="6" fillId="7" borderId="27" xfId="0" applyFont="1" applyFill="1" applyBorder="1" applyAlignment="1">
      <alignment horizontal="center" vertical="center"/>
    </xf>
    <xf numFmtId="0" fontId="12" fillId="11" borderId="12" xfId="0" applyFont="1" applyFill="1" applyBorder="1" applyAlignment="1" applyProtection="1">
      <alignment horizontal="center" vertical="center" wrapText="1"/>
      <protection locked="0"/>
    </xf>
    <xf numFmtId="0" fontId="12" fillId="11" borderId="9" xfId="0" applyFont="1" applyFill="1" applyBorder="1" applyAlignment="1" applyProtection="1">
      <alignment horizontal="center" vertical="center" wrapText="1"/>
      <protection locked="0"/>
    </xf>
    <xf numFmtId="0" fontId="12" fillId="11" borderId="16" xfId="0" applyFont="1" applyFill="1" applyBorder="1" applyAlignment="1" applyProtection="1">
      <alignment horizontal="center" vertical="center" wrapText="1"/>
      <protection locked="0"/>
    </xf>
    <xf numFmtId="0" fontId="12" fillId="11" borderId="2" xfId="0" applyFont="1" applyFill="1" applyBorder="1" applyAlignment="1" applyProtection="1">
      <alignment horizontal="center" vertical="center" wrapText="1"/>
      <protection locked="0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0" fontId="4" fillId="6" borderId="5" xfId="0" applyFont="1" applyFill="1" applyBorder="1" applyAlignment="1">
      <alignment horizontal="center" vertical="center"/>
    </xf>
    <xf numFmtId="0" fontId="10" fillId="6" borderId="18" xfId="0" applyFont="1" applyFill="1" applyBorder="1" applyAlignment="1">
      <alignment horizontal="center" vertical="center"/>
    </xf>
    <xf numFmtId="0" fontId="10" fillId="6" borderId="23" xfId="0" applyFont="1" applyFill="1" applyBorder="1" applyAlignment="1">
      <alignment horizontal="center" vertical="center"/>
    </xf>
    <xf numFmtId="0" fontId="10" fillId="6" borderId="19" xfId="0" applyFont="1" applyFill="1" applyBorder="1" applyAlignment="1">
      <alignment horizontal="center" vertical="center" wrapText="1"/>
    </xf>
    <xf numFmtId="0" fontId="10" fillId="6" borderId="24" xfId="0" applyFont="1" applyFill="1" applyBorder="1" applyAlignment="1">
      <alignment horizontal="center" vertical="center" wrapText="1"/>
    </xf>
    <xf numFmtId="0" fontId="6" fillId="7" borderId="21" xfId="0" applyFont="1" applyFill="1" applyBorder="1" applyAlignment="1">
      <alignment horizontal="center" vertical="center"/>
    </xf>
    <xf numFmtId="0" fontId="6" fillId="7" borderId="13" xfId="0" applyFont="1" applyFill="1" applyBorder="1" applyAlignment="1">
      <alignment horizontal="center" vertical="center"/>
    </xf>
    <xf numFmtId="0" fontId="10" fillId="6" borderId="20" xfId="0" applyFont="1" applyFill="1" applyBorder="1" applyAlignment="1">
      <alignment horizontal="center" vertical="center" wrapText="1"/>
    </xf>
    <xf numFmtId="0" fontId="10" fillId="6" borderId="25" xfId="0" applyFont="1" applyFill="1" applyBorder="1" applyAlignment="1">
      <alignment horizontal="center" vertical="center" wrapText="1"/>
    </xf>
    <xf numFmtId="0" fontId="10" fillId="6" borderId="12" xfId="0" applyFont="1" applyFill="1" applyBorder="1" applyAlignment="1">
      <alignment horizontal="center" vertical="center" wrapText="1"/>
    </xf>
    <xf numFmtId="0" fontId="10" fillId="6" borderId="14" xfId="0" applyFont="1" applyFill="1" applyBorder="1" applyAlignment="1">
      <alignment horizontal="center" vertical="center" wrapText="1"/>
    </xf>
    <xf numFmtId="0" fontId="10" fillId="6" borderId="9" xfId="0" applyFont="1" applyFill="1" applyBorder="1" applyAlignment="1">
      <alignment horizontal="center" vertical="center" wrapText="1"/>
    </xf>
    <xf numFmtId="0" fontId="12" fillId="7" borderId="18" xfId="0" applyFont="1" applyFill="1" applyBorder="1" applyAlignment="1">
      <alignment horizontal="left" vertical="center"/>
    </xf>
    <xf numFmtId="0" fontId="12" fillId="7" borderId="27" xfId="0" applyFont="1" applyFill="1" applyBorder="1" applyAlignment="1">
      <alignment horizontal="left" vertical="center"/>
    </xf>
    <xf numFmtId="0" fontId="7" fillId="7" borderId="12" xfId="0" applyFont="1" applyFill="1" applyBorder="1" applyAlignment="1">
      <alignment horizontal="center" vertical="center"/>
    </xf>
    <xf numFmtId="0" fontId="7" fillId="7" borderId="14" xfId="0" applyFont="1" applyFill="1" applyBorder="1" applyAlignment="1">
      <alignment horizontal="center" vertical="center"/>
    </xf>
    <xf numFmtId="0" fontId="6" fillId="7" borderId="23" xfId="0" applyFont="1" applyFill="1" applyBorder="1" applyAlignment="1">
      <alignment horizontal="center" vertical="center"/>
    </xf>
    <xf numFmtId="0" fontId="6" fillId="7" borderId="28" xfId="0" applyFont="1" applyFill="1" applyBorder="1" applyAlignment="1">
      <alignment horizontal="center" vertical="center"/>
    </xf>
  </cellXfs>
  <cellStyles count="3">
    <cellStyle name="Hyperlink" xfId="1" builtinId="8"/>
    <cellStyle name="Normal" xfId="0" builtinId="0"/>
    <cellStyle name="Normal 2" xfId="2" xr:uid="{AA678978-82B8-4559-AF12-B46DA28FEF64}"/>
  </cellStyles>
  <dxfs count="19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b/>
        <i/>
        <color rgb="FFFF0000"/>
      </font>
    </dxf>
    <dxf>
      <font>
        <b/>
        <i/>
        <color rgb="FFFF0000"/>
      </font>
    </dxf>
    <dxf>
      <fill>
        <patternFill>
          <bgColor rgb="FFFF0000"/>
        </patternFill>
      </fill>
    </dxf>
    <dxf>
      <font>
        <b/>
        <i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093968451963306"/>
          <c:y val="5.0925834270716161E-2"/>
          <c:w val="0.79867986798679869"/>
          <c:h val="0.82285714285714284"/>
        </c:manualLayout>
      </c:layout>
      <c:barChart>
        <c:barDir val="col"/>
        <c:grouping val="clustered"/>
        <c:varyColors val="0"/>
        <c:ser>
          <c:idx val="2"/>
          <c:order val="2"/>
          <c:spPr>
            <a:pattFill prst="narHorz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/>
              </a:innerShdw>
            </a:effectLst>
          </c:spPr>
          <c:invertIfNegative val="0"/>
          <c:dPt>
            <c:idx val="10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>
                <a:innerShdw blurRad="114300">
                  <a:schemeClr val="accent3"/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1-5E13-4372-A072-D54C07C6371B}"/>
              </c:ext>
            </c:extLst>
          </c:dPt>
          <c:cat>
            <c:strRef>
              <c:f>'BETON UYGUNLUK DEĞERLENDİRME'!$U$15:$U$25</c:f>
              <c:strCach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ORT.</c:v>
                </c:pt>
              </c:strCache>
            </c:strRef>
          </c:cat>
          <c:val>
            <c:numRef>
              <c:f>'BETON UYGUNLUK DEĞERLENDİRME'!$P$15:$P$25</c:f>
              <c:numCache>
                <c:formatCode>#,#00</c:formatCode>
                <c:ptCount val="11"/>
                <c:pt idx="0">
                  <c:v>0</c:v>
                </c:pt>
                <c:pt idx="1">
                  <c:v>39.333333333333336</c:v>
                </c:pt>
                <c:pt idx="2">
                  <c:v>38</c:v>
                </c:pt>
                <c:pt idx="3">
                  <c:v>41.333333333333336</c:v>
                </c:pt>
                <c:pt idx="4">
                  <c:v>38</c:v>
                </c:pt>
                <c:pt idx="5">
                  <c:v>31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37.533333333333339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648-4647-81CE-81AB9AB46A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300585824"/>
        <c:axId val="1300587904"/>
      </c:barChar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0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E13-4372-A072-D54C07C6371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'BETON UYGUNLUK DEĞERLENDİRME'!$Q$15:$Q$25</c:f>
              <c:numCache>
                <c:formatCode>General</c:formatCode>
                <c:ptCount val="11"/>
                <c:pt idx="0">
                  <c:v>39</c:v>
                </c:pt>
                <c:pt idx="1">
                  <c:v>39</c:v>
                </c:pt>
                <c:pt idx="2">
                  <c:v>39</c:v>
                </c:pt>
                <c:pt idx="3">
                  <c:v>39</c:v>
                </c:pt>
                <c:pt idx="4">
                  <c:v>39</c:v>
                </c:pt>
                <c:pt idx="5">
                  <c:v>39</c:v>
                </c:pt>
                <c:pt idx="6">
                  <c:v>39</c:v>
                </c:pt>
                <c:pt idx="7">
                  <c:v>39</c:v>
                </c:pt>
                <c:pt idx="8">
                  <c:v>39</c:v>
                </c:pt>
                <c:pt idx="9">
                  <c:v>39</c:v>
                </c:pt>
                <c:pt idx="10">
                  <c:v>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648-4647-81CE-81AB9AB46AF0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Lbl>
              <c:idx val="10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E13-4372-A072-D54C07C6371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'BETON UYGUNLUK DEĞERLENDİRME'!$R$15:$R$25</c:f>
              <c:numCache>
                <c:formatCode>General</c:formatCode>
                <c:ptCount val="11"/>
                <c:pt idx="0">
                  <c:v>33</c:v>
                </c:pt>
                <c:pt idx="1">
                  <c:v>33</c:v>
                </c:pt>
                <c:pt idx="2">
                  <c:v>33</c:v>
                </c:pt>
                <c:pt idx="3">
                  <c:v>33</c:v>
                </c:pt>
                <c:pt idx="4">
                  <c:v>33</c:v>
                </c:pt>
                <c:pt idx="5">
                  <c:v>33</c:v>
                </c:pt>
                <c:pt idx="6">
                  <c:v>33</c:v>
                </c:pt>
                <c:pt idx="7">
                  <c:v>33</c:v>
                </c:pt>
                <c:pt idx="8">
                  <c:v>33</c:v>
                </c:pt>
                <c:pt idx="9">
                  <c:v>33</c:v>
                </c:pt>
                <c:pt idx="10">
                  <c:v>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648-4647-81CE-81AB9AB46A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00585824"/>
        <c:axId val="1300587904"/>
      </c:lineChart>
      <c:catAx>
        <c:axId val="13005858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Deney No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300587904"/>
        <c:crosses val="autoZero"/>
        <c:auto val="1"/>
        <c:lblAlgn val="ctr"/>
        <c:lblOffset val="100"/>
        <c:noMultiLvlLbl val="0"/>
      </c:catAx>
      <c:valAx>
        <c:axId val="1300587904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Ortalama Basınç Dayanımı (MPa)</a:t>
                </a:r>
              </a:p>
            </c:rich>
          </c:tx>
          <c:layout>
            <c:manualLayout>
              <c:xMode val="edge"/>
              <c:yMode val="edge"/>
              <c:x val="1.7138068137522413E-2"/>
              <c:y val="0.247938507686539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#,#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300585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tx1">
          <a:lumMod val="75000"/>
          <a:lumOff val="25000"/>
        </a:schemeClr>
      </a:solidFill>
      <a:round/>
    </a:ln>
    <a:effectLst/>
  </c:spPr>
  <c:txPr>
    <a:bodyPr/>
    <a:lstStyle/>
    <a:p>
      <a:pPr>
        <a:defRPr b="1">
          <a:solidFill>
            <a:schemeClr val="tx1"/>
          </a:solidFill>
        </a:defRPr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2"/>
          <c:order val="2"/>
          <c:tx>
            <c:v>Pointer</c:v>
          </c:tx>
          <c:spPr>
            <a:ln>
              <a:noFill/>
            </a:ln>
          </c:spPr>
          <c:dPt>
            <c:idx val="0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C81-4C66-9A75-A50E75FE04DC}"/>
              </c:ext>
            </c:extLst>
          </c:dPt>
          <c:dPt>
            <c:idx val="1"/>
            <c:bubble3D val="0"/>
            <c:explosion val="5"/>
            <c:spPr>
              <a:solidFill>
                <a:schemeClr val="tx1"/>
              </a:solidFill>
              <a:ln w="5080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4C81-4C66-9A75-A50E75FE04DC}"/>
              </c:ext>
            </c:extLst>
          </c:dPt>
          <c:dPt>
            <c:idx val="2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4C81-4C66-9A75-A50E75FE04DC}"/>
              </c:ext>
            </c:extLst>
          </c:dPt>
          <c:val>
            <c:numRef>
              <c:f>Sheet1!$Q$2:$Q$4</c:f>
              <c:numCache>
                <c:formatCode>General</c:formatCode>
                <c:ptCount val="3"/>
                <c:pt idx="0">
                  <c:v>37.533333333333339</c:v>
                </c:pt>
                <c:pt idx="1">
                  <c:v>1</c:v>
                </c:pt>
                <c:pt idx="2">
                  <c:v>161.46666666666667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C81-4C66-9A75-A50E75FE04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70"/>
      </c:pieChart>
      <c:doughnutChart>
        <c:varyColors val="1"/>
        <c:ser>
          <c:idx val="0"/>
          <c:order val="0"/>
          <c:spPr>
            <a:ln>
              <a:noFill/>
            </a:ln>
          </c:spPr>
          <c:dPt>
            <c:idx val="0"/>
            <c:bubble3D val="0"/>
            <c:spPr>
              <a:solidFill>
                <a:srgbClr val="FF0000">
                  <a:alpha val="70000"/>
                </a:srgbClr>
              </a:solidFill>
              <a:ln w="952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4C81-4C66-9A75-A50E75FE04DC}"/>
              </c:ext>
            </c:extLst>
          </c:dPt>
          <c:dPt>
            <c:idx val="1"/>
            <c:bubble3D val="0"/>
            <c:spPr>
              <a:solidFill>
                <a:srgbClr val="00B050">
                  <a:alpha val="72000"/>
                </a:srgbClr>
              </a:solidFill>
              <a:ln w="952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4C81-4C66-9A75-A50E75FE04DC}"/>
              </c:ext>
            </c:extLst>
          </c:dPt>
          <c:dPt>
            <c:idx val="2"/>
            <c:bubble3D val="0"/>
            <c:spPr>
              <a:noFill/>
              <a:ln w="952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4C81-4C66-9A75-A50E75FE04DC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1" u="sng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tr-T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4C81-4C66-9A75-A50E75FE04DC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C81-4C66-9A75-A50E75FE04DC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C81-4C66-9A75-A50E75FE04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Sheet1!$K$2:$K$4</c:f>
              <c:numCache>
                <c:formatCode>General</c:formatCode>
                <c:ptCount val="3"/>
                <c:pt idx="0">
                  <c:v>39</c:v>
                </c:pt>
                <c:pt idx="1">
                  <c:v>61</c:v>
                </c:pt>
                <c:pt idx="2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C81-4C66-9A75-A50E75FE04DC}"/>
            </c:ext>
          </c:extLst>
        </c:ser>
        <c:ser>
          <c:idx val="1"/>
          <c:order val="1"/>
          <c:tx>
            <c:v>Label</c:v>
          </c:tx>
          <c:spPr>
            <a:solidFill>
              <a:schemeClr val="tx1">
                <a:lumMod val="50000"/>
                <a:lumOff val="50000"/>
                <a:alpha val="40000"/>
              </a:schemeClr>
            </a:solidFill>
            <a:ln>
              <a:noFill/>
            </a:ln>
          </c:spPr>
          <c:dPt>
            <c:idx val="0"/>
            <c:bubble3D val="0"/>
            <c:spPr>
              <a:solidFill>
                <a:schemeClr val="bg1">
                  <a:lumMod val="75000"/>
                  <a:alpha val="40000"/>
                </a:schemeClr>
              </a:solidFill>
              <a:ln w="952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4C81-4C66-9A75-A50E75FE04DC}"/>
              </c:ext>
            </c:extLst>
          </c:dPt>
          <c:dPt>
            <c:idx val="1"/>
            <c:bubble3D val="0"/>
            <c:spPr>
              <a:solidFill>
                <a:schemeClr val="tx2">
                  <a:lumMod val="60000"/>
                  <a:lumOff val="40000"/>
                  <a:alpha val="40000"/>
                </a:schemeClr>
              </a:solidFill>
              <a:ln w="952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4C81-4C66-9A75-A50E75FE04DC}"/>
              </c:ext>
            </c:extLst>
          </c:dPt>
          <c:dPt>
            <c:idx val="2"/>
            <c:bubble3D val="0"/>
            <c:spPr>
              <a:solidFill>
                <a:schemeClr val="bg1">
                  <a:lumMod val="85000"/>
                  <a:alpha val="40000"/>
                </a:schemeClr>
              </a:solidFill>
              <a:ln w="952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4C81-4C66-9A75-A50E75FE04DC}"/>
              </c:ext>
            </c:extLst>
          </c:dPt>
          <c:dPt>
            <c:idx val="3"/>
            <c:bubble3D val="0"/>
            <c:spPr>
              <a:solidFill>
                <a:schemeClr val="tx2">
                  <a:lumMod val="60000"/>
                  <a:lumOff val="40000"/>
                  <a:alpha val="40000"/>
                </a:schemeClr>
              </a:solidFill>
              <a:ln w="952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4C81-4C66-9A75-A50E75FE04DC}"/>
              </c:ext>
            </c:extLst>
          </c:dPt>
          <c:dPt>
            <c:idx val="4"/>
            <c:bubble3D val="0"/>
            <c:spPr>
              <a:solidFill>
                <a:schemeClr val="bg1">
                  <a:lumMod val="75000"/>
                  <a:alpha val="40000"/>
                </a:schemeClr>
              </a:solidFill>
              <a:ln w="952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4C81-4C66-9A75-A50E75FE04DC}"/>
              </c:ext>
            </c:extLst>
          </c:dPt>
          <c:dPt>
            <c:idx val="5"/>
            <c:bubble3D val="0"/>
            <c:spPr>
              <a:solidFill>
                <a:schemeClr val="tx2">
                  <a:lumMod val="60000"/>
                  <a:lumOff val="40000"/>
                  <a:alpha val="40000"/>
                </a:schemeClr>
              </a:solidFill>
              <a:ln w="952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4C81-4C66-9A75-A50E75FE04DC}"/>
              </c:ext>
            </c:extLst>
          </c:dPt>
          <c:dPt>
            <c:idx val="6"/>
            <c:bubble3D val="0"/>
            <c:spPr>
              <a:solidFill>
                <a:schemeClr val="bg1">
                  <a:lumMod val="75000"/>
                  <a:alpha val="40000"/>
                </a:schemeClr>
              </a:solidFill>
              <a:ln w="952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4C81-4C66-9A75-A50E75FE04DC}"/>
              </c:ext>
            </c:extLst>
          </c:dPt>
          <c:dPt>
            <c:idx val="7"/>
            <c:bubble3D val="0"/>
            <c:spPr>
              <a:solidFill>
                <a:schemeClr val="tx2">
                  <a:lumMod val="60000"/>
                  <a:lumOff val="40000"/>
                  <a:alpha val="40000"/>
                </a:schemeClr>
              </a:solidFill>
              <a:ln w="952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D-4C81-4C66-9A75-A50E75FE04DC}"/>
              </c:ext>
            </c:extLst>
          </c:dPt>
          <c:dPt>
            <c:idx val="8"/>
            <c:bubble3D val="0"/>
            <c:spPr>
              <a:solidFill>
                <a:schemeClr val="bg1">
                  <a:lumMod val="75000"/>
                  <a:alpha val="40000"/>
                </a:schemeClr>
              </a:solidFill>
              <a:ln w="952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F-4C81-4C66-9A75-A50E75FE04DC}"/>
              </c:ext>
            </c:extLst>
          </c:dPt>
          <c:dPt>
            <c:idx val="9"/>
            <c:bubble3D val="0"/>
            <c:spPr>
              <a:solidFill>
                <a:schemeClr val="tx2">
                  <a:lumMod val="60000"/>
                  <a:lumOff val="40000"/>
                  <a:alpha val="40000"/>
                </a:schemeClr>
              </a:solidFill>
              <a:ln w="952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1-4C81-4C66-9A75-A50E75FE04DC}"/>
              </c:ext>
            </c:extLst>
          </c:dPt>
          <c:dPt>
            <c:idx val="10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3-4C81-4C66-9A75-A50E75FE04DC}"/>
              </c:ext>
            </c:extLst>
          </c:dPt>
          <c:dLbls>
            <c:dLbl>
              <c:idx val="0"/>
              <c:layout>
                <c:manualLayout>
                  <c:x val="-4.9733570159857902E-2"/>
                  <c:y val="-7.7317979322006514E-2"/>
                </c:manualLayout>
              </c:layout>
              <c:tx>
                <c:rich>
                  <a:bodyPr/>
                  <a:lstStyle/>
                  <a:p>
                    <a:fld id="{2237D152-8D00-4F44-9420-B31CEBA8CE87}" type="CELLRANGE">
                      <a:rPr lang="en-US"/>
                      <a:pPr/>
                      <a:t>[CELLRANGE]</a:t>
                    </a:fld>
                    <a:endParaRPr lang="tr-T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F-4C81-4C66-9A75-A50E75FE04DC}"/>
                </c:ext>
              </c:extLst>
            </c:dLbl>
            <c:dLbl>
              <c:idx val="1"/>
              <c:layout>
                <c:manualLayout>
                  <c:x val="-1.8946121965660152E-2"/>
                  <c:y val="-8.6982726737257418E-2"/>
                </c:manualLayout>
              </c:layout>
              <c:tx>
                <c:rich>
                  <a:bodyPr/>
                  <a:lstStyle/>
                  <a:p>
                    <a:fld id="{5852A97C-E301-4563-81E7-DF40E2FA3ED5}" type="CELLRANGE">
                      <a:rPr lang="en-US"/>
                      <a:pPr/>
                      <a:t>[CELLRANGE]</a:t>
                    </a:fld>
                    <a:endParaRPr lang="tr-T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1-4C81-4C66-9A75-A50E75FE04DC}"/>
                </c:ext>
              </c:extLst>
            </c:dLbl>
            <c:dLbl>
              <c:idx val="2"/>
              <c:layout>
                <c:manualLayout>
                  <c:x val="0"/>
                  <c:y val="-8.6982726737257376E-2"/>
                </c:manualLayout>
              </c:layout>
              <c:tx>
                <c:rich>
                  <a:bodyPr/>
                  <a:lstStyle/>
                  <a:p>
                    <a:fld id="{7F5FAD74-200D-45C8-835A-B5D5298588CF}" type="CELLRANGE">
                      <a:rPr lang="en-US"/>
                      <a:pPr/>
                      <a:t>[CELLRANGE]</a:t>
                    </a:fld>
                    <a:endParaRPr lang="tr-T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3-4C81-4C66-9A75-A50E75FE04DC}"/>
                </c:ext>
              </c:extLst>
            </c:dLbl>
            <c:dLbl>
              <c:idx val="3"/>
              <c:layout>
                <c:manualLayout>
                  <c:x val="3.3155713439905268E-2"/>
                  <c:y val="-7.9734166175819271E-2"/>
                </c:manualLayout>
              </c:layout>
              <c:tx>
                <c:rich>
                  <a:bodyPr/>
                  <a:lstStyle/>
                  <a:p>
                    <a:fld id="{DE9CDDBE-C4C1-45B3-9D96-4B328DD8762C}" type="CELLRANGE">
                      <a:rPr lang="en-US"/>
                      <a:pPr/>
                      <a:t>[CELLRANGE]</a:t>
                    </a:fld>
                    <a:endParaRPr lang="tr-T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5-4C81-4C66-9A75-A50E75FE04DC}"/>
                </c:ext>
              </c:extLst>
            </c:dLbl>
            <c:dLbl>
              <c:idx val="4"/>
              <c:layout>
                <c:manualLayout>
                  <c:x val="6.15748963883955E-2"/>
                  <c:y val="-6.7653231906755734E-2"/>
                </c:manualLayout>
              </c:layout>
              <c:tx>
                <c:rich>
                  <a:bodyPr/>
                  <a:lstStyle/>
                  <a:p>
                    <a:fld id="{DAFB3A76-41BA-4EC5-8C69-08D271B03247}" type="CELLRANGE">
                      <a:rPr lang="en-US"/>
                      <a:pPr/>
                      <a:t>[CELLRANGE]</a:t>
                    </a:fld>
                    <a:endParaRPr lang="tr-T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7-4C81-4C66-9A75-A50E75FE04DC}"/>
                </c:ext>
              </c:extLst>
            </c:dLbl>
            <c:dLbl>
              <c:idx val="5"/>
              <c:layout>
                <c:manualLayout>
                  <c:x val="8.5257548845470613E-2"/>
                  <c:y val="-4.590755022244139E-2"/>
                </c:manualLayout>
              </c:layout>
              <c:tx>
                <c:rich>
                  <a:bodyPr/>
                  <a:lstStyle/>
                  <a:p>
                    <a:fld id="{E363A79E-95F4-4A3A-BD09-EF8D4E16EBC4}" type="CELLRANGE">
                      <a:rPr lang="en-US"/>
                      <a:pPr/>
                      <a:t>[CELLRANGE]</a:t>
                    </a:fld>
                    <a:endParaRPr lang="tr-T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9-4C81-4C66-9A75-A50E75FE04DC}"/>
                </c:ext>
              </c:extLst>
            </c:dLbl>
            <c:dLbl>
              <c:idx val="6"/>
              <c:layout>
                <c:manualLayout>
                  <c:x val="9.236234458259325E-2"/>
                  <c:y val="-1.932949483050166E-2"/>
                </c:manualLayout>
              </c:layout>
              <c:tx>
                <c:rich>
                  <a:bodyPr/>
                  <a:lstStyle/>
                  <a:p>
                    <a:fld id="{74C1A89C-DDBC-419B-8ED9-E351BD80E420}" type="CELLRANGE">
                      <a:rPr lang="en-US"/>
                      <a:pPr/>
                      <a:t>[CELLRANGE]</a:t>
                    </a:fld>
                    <a:endParaRPr lang="tr-T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B-4C81-4C66-9A75-A50E75FE04DC}"/>
                </c:ext>
              </c:extLst>
            </c:dLbl>
            <c:dLbl>
              <c:idx val="7"/>
              <c:layout>
                <c:manualLayout>
                  <c:x val="8.2889283599763178E-2"/>
                  <c:y val="7.2485605614381141E-3"/>
                </c:manualLayout>
              </c:layout>
              <c:tx>
                <c:rich>
                  <a:bodyPr/>
                  <a:lstStyle/>
                  <a:p>
                    <a:fld id="{434F045A-2DBB-4AA8-B1B5-F77578C0B4C6}" type="CELLRANGE">
                      <a:rPr lang="en-US"/>
                      <a:pPr/>
                      <a:t>[CELLRANGE]</a:t>
                    </a:fld>
                    <a:endParaRPr lang="tr-T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D-4C81-4C66-9A75-A50E75FE04DC}"/>
                </c:ext>
              </c:extLst>
            </c:dLbl>
            <c:dLbl>
              <c:idx val="8"/>
              <c:layout>
                <c:manualLayout>
                  <c:x val="8.8305837831595624E-2"/>
                  <c:y val="3.5304427391777742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t" anchorCtr="0">
                    <a:noAutofit/>
                  </a:bodyPr>
                  <a:lstStyle/>
                  <a:p>
                    <a:pPr>
                      <a:defRPr sz="800" b="1" i="0" u="none" strike="noStrike" kern="1200" baseline="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BAFBC5BC-3817-4F28-90E1-84A35ADBC9EB}" type="CELLRANGE">
                      <a:rPr lang="en-US" sz="800">
                        <a:solidFill>
                          <a:schemeClr val="tx1"/>
                        </a:solidFill>
                      </a:rPr>
                      <a:pPr>
                        <a:defRPr sz="800" b="1">
                          <a:solidFill>
                            <a:schemeClr val="tx1"/>
                          </a:solidFill>
                        </a:defRPr>
                      </a:pPr>
                      <a:t>[CELLRANGE]</a:t>
                    </a:fld>
                    <a:endParaRPr lang="tr-TR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t" anchorCtr="0">
                  <a:noAutofit/>
                </a:bodyPr>
                <a:lstStyle/>
                <a:p>
                  <a:pPr>
                    <a:defRPr sz="800" b="1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tr-T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1377809470177629E-2"/>
                      <c:h val="4.157827460952914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F-4C81-4C66-9A75-A50E75FE04DC}"/>
                </c:ext>
              </c:extLst>
            </c:dLbl>
            <c:dLbl>
              <c:idx val="9"/>
              <c:layout>
                <c:manualLayout>
                  <c:x val="7.1047957371225406E-2"/>
                  <c:y val="6.0404671345317622E-2"/>
                </c:manualLayout>
              </c:layout>
              <c:tx>
                <c:rich>
                  <a:bodyPr/>
                  <a:lstStyle/>
                  <a:p>
                    <a:fld id="{AB5842A1-871A-4119-AC3A-5196B5A947CD}" type="CELLRANGE">
                      <a:rPr lang="en-US"/>
                      <a:pPr/>
                      <a:t>[CELLRANGE]</a:t>
                    </a:fld>
                    <a:endParaRPr lang="tr-T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1-4C81-4C66-9A75-A50E75FE04DC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23-4C81-4C66-9A75-A50E75FE04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t" anchorCtr="0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</c:ext>
            </c:extLst>
          </c:dLbls>
          <c:val>
            <c:numRef>
              <c:f>Sheet1!$N$2:$N$12</c:f>
              <c:numCache>
                <c:formatCode>General</c:formatCode>
                <c:ptCount val="11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100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Sheet1!$M$2:$M$11</c15:f>
                <c15:dlblRangeCache>
                  <c:ptCount val="10"/>
                  <c:pt idx="0">
                    <c:v>10</c:v>
                  </c:pt>
                  <c:pt idx="1">
                    <c:v>20</c:v>
                  </c:pt>
                  <c:pt idx="2">
                    <c:v>30</c:v>
                  </c:pt>
                  <c:pt idx="3">
                    <c:v>40</c:v>
                  </c:pt>
                  <c:pt idx="4">
                    <c:v>50</c:v>
                  </c:pt>
                  <c:pt idx="5">
                    <c:v>60</c:v>
                  </c:pt>
                  <c:pt idx="6">
                    <c:v>70</c:v>
                  </c:pt>
                  <c:pt idx="7">
                    <c:v>80</c:v>
                  </c:pt>
                  <c:pt idx="8">
                    <c:v>90</c:v>
                  </c:pt>
                  <c:pt idx="9">
                    <c:v>100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24-4C81-4C66-9A75-A50E75FE04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70"/>
        <c:holeSize val="58"/>
      </c:doughnut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2"/>
          <c:order val="2"/>
          <c:tx>
            <c:v>Pointer</c:v>
          </c:tx>
          <c:spPr>
            <a:ln>
              <a:noFill/>
            </a:ln>
          </c:spPr>
          <c:dPt>
            <c:idx val="0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08E-4CBE-8815-23A309C0CBA2}"/>
              </c:ext>
            </c:extLst>
          </c:dPt>
          <c:dPt>
            <c:idx val="1"/>
            <c:bubble3D val="0"/>
            <c:explosion val="5"/>
            <c:spPr>
              <a:solidFill>
                <a:schemeClr val="tx1"/>
              </a:solidFill>
              <a:ln w="5080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108E-4CBE-8815-23A309C0CBA2}"/>
              </c:ext>
            </c:extLst>
          </c:dPt>
          <c:dPt>
            <c:idx val="2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108E-4CBE-8815-23A309C0CBA2}"/>
              </c:ext>
            </c:extLst>
          </c:dPt>
          <c:val>
            <c:numRef>
              <c:f>Sheet1!$Q$2:$Q$4</c:f>
              <c:numCache>
                <c:formatCode>General</c:formatCode>
                <c:ptCount val="3"/>
                <c:pt idx="0">
                  <c:v>37.533333333333339</c:v>
                </c:pt>
                <c:pt idx="1">
                  <c:v>1</c:v>
                </c:pt>
                <c:pt idx="2">
                  <c:v>161.46666666666667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08E-4CBE-8815-23A309C0CB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70"/>
      </c:pieChart>
      <c:doughnutChart>
        <c:varyColors val="1"/>
        <c:ser>
          <c:idx val="0"/>
          <c:order val="0"/>
          <c:spPr>
            <a:ln>
              <a:noFill/>
            </a:ln>
          </c:spPr>
          <c:dPt>
            <c:idx val="0"/>
            <c:bubble3D val="0"/>
            <c:spPr>
              <a:solidFill>
                <a:srgbClr val="FF0000">
                  <a:alpha val="70000"/>
                </a:srgbClr>
              </a:solidFill>
              <a:ln w="952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108E-4CBE-8815-23A309C0CBA2}"/>
              </c:ext>
            </c:extLst>
          </c:dPt>
          <c:dPt>
            <c:idx val="1"/>
            <c:bubble3D val="0"/>
            <c:spPr>
              <a:solidFill>
                <a:srgbClr val="00B050">
                  <a:alpha val="72000"/>
                </a:srgbClr>
              </a:solidFill>
              <a:ln w="952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108E-4CBE-8815-23A309C0CBA2}"/>
              </c:ext>
            </c:extLst>
          </c:dPt>
          <c:dPt>
            <c:idx val="2"/>
            <c:bubble3D val="0"/>
            <c:spPr>
              <a:solidFill>
                <a:schemeClr val="bg1">
                  <a:alpha val="70000"/>
                </a:schemeClr>
              </a:solidFill>
              <a:ln w="952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108E-4CBE-8815-23A309C0CBA2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1" u="sng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tr-T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108E-4CBE-8815-23A309C0CBA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08E-4CBE-8815-23A309C0CBA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08E-4CBE-8815-23A309C0CBA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Sheet1!$K$2:$K$4</c:f>
              <c:numCache>
                <c:formatCode>General</c:formatCode>
                <c:ptCount val="3"/>
                <c:pt idx="0">
                  <c:v>39</c:v>
                </c:pt>
                <c:pt idx="1">
                  <c:v>61</c:v>
                </c:pt>
                <c:pt idx="2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108E-4CBE-8815-23A309C0CBA2}"/>
            </c:ext>
          </c:extLst>
        </c:ser>
        <c:ser>
          <c:idx val="1"/>
          <c:order val="1"/>
          <c:tx>
            <c:v>Label</c:v>
          </c:tx>
          <c:spPr>
            <a:solidFill>
              <a:schemeClr val="tx1">
                <a:lumMod val="50000"/>
                <a:lumOff val="50000"/>
                <a:alpha val="40000"/>
              </a:schemeClr>
            </a:solidFill>
            <a:ln>
              <a:noFill/>
            </a:ln>
          </c:spPr>
          <c:dPt>
            <c:idx val="0"/>
            <c:bubble3D val="0"/>
            <c:spPr>
              <a:solidFill>
                <a:schemeClr val="bg1">
                  <a:lumMod val="75000"/>
                  <a:alpha val="40000"/>
                </a:schemeClr>
              </a:solidFill>
              <a:ln w="952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108E-4CBE-8815-23A309C0CBA2}"/>
              </c:ext>
            </c:extLst>
          </c:dPt>
          <c:dPt>
            <c:idx val="1"/>
            <c:bubble3D val="0"/>
            <c:spPr>
              <a:solidFill>
                <a:schemeClr val="tx2">
                  <a:lumMod val="60000"/>
                  <a:lumOff val="40000"/>
                  <a:alpha val="40000"/>
                </a:schemeClr>
              </a:solidFill>
              <a:ln w="952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108E-4CBE-8815-23A309C0CBA2}"/>
              </c:ext>
            </c:extLst>
          </c:dPt>
          <c:dPt>
            <c:idx val="2"/>
            <c:bubble3D val="0"/>
            <c:spPr>
              <a:solidFill>
                <a:schemeClr val="bg1">
                  <a:lumMod val="85000"/>
                  <a:alpha val="40000"/>
                </a:schemeClr>
              </a:solidFill>
              <a:ln w="952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108E-4CBE-8815-23A309C0CBA2}"/>
              </c:ext>
            </c:extLst>
          </c:dPt>
          <c:dPt>
            <c:idx val="3"/>
            <c:bubble3D val="0"/>
            <c:spPr>
              <a:solidFill>
                <a:schemeClr val="tx2">
                  <a:lumMod val="60000"/>
                  <a:lumOff val="40000"/>
                  <a:alpha val="40000"/>
                </a:schemeClr>
              </a:solidFill>
              <a:ln w="952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108E-4CBE-8815-23A309C0CBA2}"/>
              </c:ext>
            </c:extLst>
          </c:dPt>
          <c:dPt>
            <c:idx val="4"/>
            <c:bubble3D val="0"/>
            <c:spPr>
              <a:solidFill>
                <a:schemeClr val="bg1">
                  <a:lumMod val="75000"/>
                  <a:alpha val="40000"/>
                </a:schemeClr>
              </a:solidFill>
              <a:ln w="952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108E-4CBE-8815-23A309C0CBA2}"/>
              </c:ext>
            </c:extLst>
          </c:dPt>
          <c:dPt>
            <c:idx val="5"/>
            <c:bubble3D val="0"/>
            <c:spPr>
              <a:solidFill>
                <a:schemeClr val="tx2">
                  <a:lumMod val="60000"/>
                  <a:lumOff val="40000"/>
                  <a:alpha val="40000"/>
                </a:schemeClr>
              </a:solidFill>
              <a:ln w="952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D-108E-4CBE-8815-23A309C0CBA2}"/>
              </c:ext>
            </c:extLst>
          </c:dPt>
          <c:dPt>
            <c:idx val="6"/>
            <c:bubble3D val="0"/>
            <c:spPr>
              <a:solidFill>
                <a:schemeClr val="bg1">
                  <a:lumMod val="75000"/>
                  <a:alpha val="40000"/>
                </a:schemeClr>
              </a:solidFill>
              <a:ln w="952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F-108E-4CBE-8815-23A309C0CBA2}"/>
              </c:ext>
            </c:extLst>
          </c:dPt>
          <c:dPt>
            <c:idx val="7"/>
            <c:bubble3D val="0"/>
            <c:spPr>
              <a:solidFill>
                <a:schemeClr val="tx2">
                  <a:lumMod val="60000"/>
                  <a:lumOff val="40000"/>
                  <a:alpha val="40000"/>
                </a:schemeClr>
              </a:solidFill>
              <a:ln w="952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1-108E-4CBE-8815-23A309C0CBA2}"/>
              </c:ext>
            </c:extLst>
          </c:dPt>
          <c:dPt>
            <c:idx val="8"/>
            <c:bubble3D val="0"/>
            <c:spPr>
              <a:solidFill>
                <a:schemeClr val="bg1">
                  <a:lumMod val="75000"/>
                  <a:alpha val="40000"/>
                </a:schemeClr>
              </a:solidFill>
              <a:ln w="952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3-108E-4CBE-8815-23A309C0CBA2}"/>
              </c:ext>
            </c:extLst>
          </c:dPt>
          <c:dPt>
            <c:idx val="9"/>
            <c:bubble3D val="0"/>
            <c:spPr>
              <a:solidFill>
                <a:schemeClr val="tx2">
                  <a:lumMod val="60000"/>
                  <a:lumOff val="40000"/>
                  <a:alpha val="40000"/>
                </a:schemeClr>
              </a:solidFill>
              <a:ln w="952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5-108E-4CBE-8815-23A309C0CBA2}"/>
              </c:ext>
            </c:extLst>
          </c:dPt>
          <c:dPt>
            <c:idx val="10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7-108E-4CBE-8815-23A309C0CBA2}"/>
              </c:ext>
            </c:extLst>
          </c:dPt>
          <c:dLbls>
            <c:dLbl>
              <c:idx val="0"/>
              <c:layout>
                <c:manualLayout>
                  <c:x val="-4.9733570159857902E-2"/>
                  <c:y val="-7.7317979322006514E-2"/>
                </c:manualLayout>
              </c:layout>
              <c:tx>
                <c:rich>
                  <a:bodyPr/>
                  <a:lstStyle/>
                  <a:p>
                    <a:fld id="{FAD42162-45B2-4E6B-9640-D83EFC7B3661}" type="CELLRANGE">
                      <a:rPr lang="en-US"/>
                      <a:pPr/>
                      <a:t>[CELLRANGE]</a:t>
                    </a:fld>
                    <a:endParaRPr lang="tr-T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3-108E-4CBE-8815-23A309C0CBA2}"/>
                </c:ext>
              </c:extLst>
            </c:dLbl>
            <c:dLbl>
              <c:idx val="1"/>
              <c:layout>
                <c:manualLayout>
                  <c:x val="-1.8946121965660152E-2"/>
                  <c:y val="-8.6982726737257418E-2"/>
                </c:manualLayout>
              </c:layout>
              <c:tx>
                <c:rich>
                  <a:bodyPr/>
                  <a:lstStyle/>
                  <a:p>
                    <a:fld id="{E7151268-8888-4FE5-848B-2D7FC9020858}" type="CELLRANGE">
                      <a:rPr lang="en-US"/>
                      <a:pPr/>
                      <a:t>[CELLRANGE]</a:t>
                    </a:fld>
                    <a:endParaRPr lang="tr-T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5-108E-4CBE-8815-23A309C0CBA2}"/>
                </c:ext>
              </c:extLst>
            </c:dLbl>
            <c:dLbl>
              <c:idx val="2"/>
              <c:layout>
                <c:manualLayout>
                  <c:x val="0"/>
                  <c:y val="-8.6982726737257376E-2"/>
                </c:manualLayout>
              </c:layout>
              <c:tx>
                <c:rich>
                  <a:bodyPr/>
                  <a:lstStyle/>
                  <a:p>
                    <a:fld id="{41E874BE-260A-4B44-99C3-2A25598A11E4}" type="CELLRANGE">
                      <a:rPr lang="en-US"/>
                      <a:pPr/>
                      <a:t>[CELLRANGE]</a:t>
                    </a:fld>
                    <a:endParaRPr lang="tr-T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7-108E-4CBE-8815-23A309C0CBA2}"/>
                </c:ext>
              </c:extLst>
            </c:dLbl>
            <c:dLbl>
              <c:idx val="3"/>
              <c:layout>
                <c:manualLayout>
                  <c:x val="3.3155713439905268E-2"/>
                  <c:y val="-7.9734166175819271E-2"/>
                </c:manualLayout>
              </c:layout>
              <c:tx>
                <c:rich>
                  <a:bodyPr/>
                  <a:lstStyle/>
                  <a:p>
                    <a:fld id="{9D4E560B-D7AE-4FE5-85AB-CAA1D25489BB}" type="CELLRANGE">
                      <a:rPr lang="en-US"/>
                      <a:pPr/>
                      <a:t>[CELLRANGE]</a:t>
                    </a:fld>
                    <a:endParaRPr lang="tr-T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9-108E-4CBE-8815-23A309C0CBA2}"/>
                </c:ext>
              </c:extLst>
            </c:dLbl>
            <c:dLbl>
              <c:idx val="4"/>
              <c:layout>
                <c:manualLayout>
                  <c:x val="6.15748963883955E-2"/>
                  <c:y val="-6.7653231906755734E-2"/>
                </c:manualLayout>
              </c:layout>
              <c:tx>
                <c:rich>
                  <a:bodyPr/>
                  <a:lstStyle/>
                  <a:p>
                    <a:fld id="{493A82F6-AF23-492B-9C07-C90C088C739E}" type="CELLRANGE">
                      <a:rPr lang="en-US"/>
                      <a:pPr/>
                      <a:t>[CELLRANGE]</a:t>
                    </a:fld>
                    <a:endParaRPr lang="tr-T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B-108E-4CBE-8815-23A309C0CBA2}"/>
                </c:ext>
              </c:extLst>
            </c:dLbl>
            <c:dLbl>
              <c:idx val="5"/>
              <c:layout>
                <c:manualLayout>
                  <c:x val="8.5257548845470613E-2"/>
                  <c:y val="-4.590755022244139E-2"/>
                </c:manualLayout>
              </c:layout>
              <c:tx>
                <c:rich>
                  <a:bodyPr/>
                  <a:lstStyle/>
                  <a:p>
                    <a:fld id="{BC41FFB0-7060-42E5-A1A2-F614F0737885}" type="CELLRANGE">
                      <a:rPr lang="en-US"/>
                      <a:pPr/>
                      <a:t>[CELLRANGE]</a:t>
                    </a:fld>
                    <a:endParaRPr lang="tr-T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D-108E-4CBE-8815-23A309C0CBA2}"/>
                </c:ext>
              </c:extLst>
            </c:dLbl>
            <c:dLbl>
              <c:idx val="6"/>
              <c:layout>
                <c:manualLayout>
                  <c:x val="9.236234458259325E-2"/>
                  <c:y val="-1.932949483050166E-2"/>
                </c:manualLayout>
              </c:layout>
              <c:tx>
                <c:rich>
                  <a:bodyPr/>
                  <a:lstStyle/>
                  <a:p>
                    <a:fld id="{CAB8A71E-1EF1-4DF3-931D-824928281A07}" type="CELLRANGE">
                      <a:rPr lang="en-US"/>
                      <a:pPr/>
                      <a:t>[CELLRANGE]</a:t>
                    </a:fld>
                    <a:endParaRPr lang="tr-T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F-108E-4CBE-8815-23A309C0CBA2}"/>
                </c:ext>
              </c:extLst>
            </c:dLbl>
            <c:dLbl>
              <c:idx val="7"/>
              <c:layout>
                <c:manualLayout>
                  <c:x val="8.2889283599763178E-2"/>
                  <c:y val="7.2485605614381141E-3"/>
                </c:manualLayout>
              </c:layout>
              <c:tx>
                <c:rich>
                  <a:bodyPr/>
                  <a:lstStyle/>
                  <a:p>
                    <a:fld id="{B9D51A29-45E1-4619-9E3F-2545D984CD46}" type="CELLRANGE">
                      <a:rPr lang="en-US"/>
                      <a:pPr/>
                      <a:t>[CELLRANGE]</a:t>
                    </a:fld>
                    <a:endParaRPr lang="tr-T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1-108E-4CBE-8815-23A309C0CBA2}"/>
                </c:ext>
              </c:extLst>
            </c:dLbl>
            <c:dLbl>
              <c:idx val="8"/>
              <c:layout>
                <c:manualLayout>
                  <c:x val="8.1705150976909419E-2"/>
                  <c:y val="3.1410524225031849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t" anchorCtr="0">
                    <a:noAutofit/>
                  </a:bodyPr>
                  <a:lstStyle/>
                  <a:p>
                    <a:pPr>
                      <a:defRPr sz="800" b="1" i="0" u="none" strike="noStrike" kern="1200" baseline="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A08FD8AB-763B-411E-B876-D4991629BDF0}" type="CELLRANGE">
                      <a:rPr lang="en-US" sz="800">
                        <a:solidFill>
                          <a:schemeClr val="tx1"/>
                        </a:solidFill>
                      </a:rPr>
                      <a:pPr>
                        <a:defRPr sz="800" b="1">
                          <a:solidFill>
                            <a:schemeClr val="tx1"/>
                          </a:solidFill>
                        </a:defRPr>
                      </a:pPr>
                      <a:t>[CELLRANGE]</a:t>
                    </a:fld>
                    <a:endParaRPr lang="tr-TR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t" anchorCtr="0">
                  <a:noAutofit/>
                </a:bodyPr>
                <a:lstStyle/>
                <a:p>
                  <a:pPr>
                    <a:defRPr sz="800" b="1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tr-T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3.8176435760805205E-2"/>
                      <c:h val="3.3790468276037357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3-108E-4CBE-8815-23A309C0CBA2}"/>
                </c:ext>
              </c:extLst>
            </c:dLbl>
            <c:dLbl>
              <c:idx val="9"/>
              <c:layout>
                <c:manualLayout>
                  <c:x val="7.1047957371225406E-2"/>
                  <c:y val="6.0404671345317622E-2"/>
                </c:manualLayout>
              </c:layout>
              <c:tx>
                <c:rich>
                  <a:bodyPr/>
                  <a:lstStyle/>
                  <a:p>
                    <a:fld id="{3B878D94-90A5-48AF-B9DC-36D816AD19F3}" type="CELLRANGE">
                      <a:rPr lang="en-US"/>
                      <a:pPr/>
                      <a:t>[CELLRANGE]</a:t>
                    </a:fld>
                    <a:endParaRPr lang="tr-T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5-108E-4CBE-8815-23A309C0CBA2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27-108E-4CBE-8815-23A309C0CBA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t" anchorCtr="0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</c:ext>
            </c:extLst>
          </c:dLbls>
          <c:val>
            <c:numRef>
              <c:f>Sheet1!$N$2:$N$12</c:f>
              <c:numCache>
                <c:formatCode>General</c:formatCode>
                <c:ptCount val="11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100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Sheet1!$M$2:$M$11</c15:f>
                <c15:dlblRangeCache>
                  <c:ptCount val="10"/>
                  <c:pt idx="0">
                    <c:v>10</c:v>
                  </c:pt>
                  <c:pt idx="1">
                    <c:v>20</c:v>
                  </c:pt>
                  <c:pt idx="2">
                    <c:v>30</c:v>
                  </c:pt>
                  <c:pt idx="3">
                    <c:v>40</c:v>
                  </c:pt>
                  <c:pt idx="4">
                    <c:v>50</c:v>
                  </c:pt>
                  <c:pt idx="5">
                    <c:v>60</c:v>
                  </c:pt>
                  <c:pt idx="6">
                    <c:v>70</c:v>
                  </c:pt>
                  <c:pt idx="7">
                    <c:v>80</c:v>
                  </c:pt>
                  <c:pt idx="8">
                    <c:v>90</c:v>
                  </c:pt>
                  <c:pt idx="9">
                    <c:v>100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28-108E-4CBE-8815-23A309C0CB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70"/>
        <c:holeSize val="58"/>
      </c:doughnut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15875" cap="flat" cmpd="sng" algn="ctr">
        <a:solidFill>
          <a:schemeClr val="tx1">
            <a:lumMod val="65000"/>
            <a:lumOff val="3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emf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38099</xdr:colOff>
      <xdr:row>8</xdr:row>
      <xdr:rowOff>19050</xdr:rowOff>
    </xdr:from>
    <xdr:to>
      <xdr:col>19</xdr:col>
      <xdr:colOff>466724</xdr:colOff>
      <xdr:row>41</xdr:row>
      <xdr:rowOff>492646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3BD6C4B1-CD22-4A0F-BF9B-3E92BF3C2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47774" y="1647825"/>
          <a:ext cx="10791825" cy="67600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457199</xdr:colOff>
      <xdr:row>16</xdr:row>
      <xdr:rowOff>142876</xdr:rowOff>
    </xdr:from>
    <xdr:to>
      <xdr:col>3</xdr:col>
      <xdr:colOff>85724</xdr:colOff>
      <xdr:row>17</xdr:row>
      <xdr:rowOff>180976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4614AFD7-8117-4D09-89DF-00A326F05BA6}"/>
            </a:ext>
          </a:extLst>
        </xdr:cNvPr>
        <xdr:cNvSpPr/>
      </xdr:nvSpPr>
      <xdr:spPr>
        <a:xfrm>
          <a:off x="1666874" y="3295651"/>
          <a:ext cx="238125" cy="228600"/>
        </a:xfrm>
        <a:prstGeom prst="ellipse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tr-TR" sz="1200" b="1"/>
            <a:t>1</a:t>
          </a:r>
        </a:p>
      </xdr:txBody>
    </xdr:sp>
    <xdr:clientData/>
  </xdr:twoCellAnchor>
  <xdr:twoCellAnchor>
    <xdr:from>
      <xdr:col>10</xdr:col>
      <xdr:colOff>523875</xdr:colOff>
      <xdr:row>18</xdr:row>
      <xdr:rowOff>171450</xdr:rowOff>
    </xdr:from>
    <xdr:to>
      <xdr:col>11</xdr:col>
      <xdr:colOff>152400</xdr:colOff>
      <xdr:row>20</xdr:row>
      <xdr:rowOff>19050</xdr:rowOff>
    </xdr:to>
    <xdr:sp macro="" textlink="">
      <xdr:nvSpPr>
        <xdr:cNvPr id="5" name="Oval 4">
          <a:extLst>
            <a:ext uri="{FF2B5EF4-FFF2-40B4-BE49-F238E27FC236}">
              <a16:creationId xmlns:a16="http://schemas.microsoft.com/office/drawing/2014/main" id="{BB217ED3-DD4B-4C6E-AABF-93BD4B0EF115}"/>
            </a:ext>
          </a:extLst>
        </xdr:cNvPr>
        <xdr:cNvSpPr/>
      </xdr:nvSpPr>
      <xdr:spPr>
        <a:xfrm>
          <a:off x="6610350" y="3705225"/>
          <a:ext cx="238125" cy="228600"/>
        </a:xfrm>
        <a:prstGeom prst="ellipse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tr-TR" sz="1200" b="1"/>
            <a:t>7</a:t>
          </a:r>
        </a:p>
      </xdr:txBody>
    </xdr:sp>
    <xdr:clientData/>
  </xdr:twoCellAnchor>
  <xdr:twoCellAnchor>
    <xdr:from>
      <xdr:col>11</xdr:col>
      <xdr:colOff>47625</xdr:colOff>
      <xdr:row>27</xdr:row>
      <xdr:rowOff>152400</xdr:rowOff>
    </xdr:from>
    <xdr:to>
      <xdr:col>11</xdr:col>
      <xdr:colOff>285750</xdr:colOff>
      <xdr:row>29</xdr:row>
      <xdr:rowOff>0</xdr:rowOff>
    </xdr:to>
    <xdr:sp macro="" textlink="">
      <xdr:nvSpPr>
        <xdr:cNvPr id="6" name="Oval 5">
          <a:extLst>
            <a:ext uri="{FF2B5EF4-FFF2-40B4-BE49-F238E27FC236}">
              <a16:creationId xmlns:a16="http://schemas.microsoft.com/office/drawing/2014/main" id="{55187279-69C8-4A58-AF2D-BD64AF022F19}"/>
            </a:ext>
          </a:extLst>
        </xdr:cNvPr>
        <xdr:cNvSpPr/>
      </xdr:nvSpPr>
      <xdr:spPr>
        <a:xfrm>
          <a:off x="6743700" y="5400675"/>
          <a:ext cx="238125" cy="228600"/>
        </a:xfrm>
        <a:prstGeom prst="ellipse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tr-TR" sz="1200" b="1"/>
            <a:t>8</a:t>
          </a:r>
        </a:p>
      </xdr:txBody>
    </xdr:sp>
    <xdr:clientData/>
  </xdr:twoCellAnchor>
  <xdr:twoCellAnchor>
    <xdr:from>
      <xdr:col>6</xdr:col>
      <xdr:colOff>381000</xdr:colOff>
      <xdr:row>27</xdr:row>
      <xdr:rowOff>171450</xdr:rowOff>
    </xdr:from>
    <xdr:to>
      <xdr:col>7</xdr:col>
      <xdr:colOff>9525</xdr:colOff>
      <xdr:row>29</xdr:row>
      <xdr:rowOff>19050</xdr:rowOff>
    </xdr:to>
    <xdr:sp macro="" textlink="">
      <xdr:nvSpPr>
        <xdr:cNvPr id="7" name="Oval 6">
          <a:extLst>
            <a:ext uri="{FF2B5EF4-FFF2-40B4-BE49-F238E27FC236}">
              <a16:creationId xmlns:a16="http://schemas.microsoft.com/office/drawing/2014/main" id="{30620723-95BC-47B1-9142-F70336F7299D}"/>
            </a:ext>
          </a:extLst>
        </xdr:cNvPr>
        <xdr:cNvSpPr/>
      </xdr:nvSpPr>
      <xdr:spPr>
        <a:xfrm>
          <a:off x="4029075" y="5419725"/>
          <a:ext cx="238125" cy="228600"/>
        </a:xfrm>
        <a:prstGeom prst="ellipse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tr-TR" sz="1200" b="1"/>
            <a:t>3</a:t>
          </a:r>
        </a:p>
      </xdr:txBody>
    </xdr:sp>
    <xdr:clientData/>
  </xdr:twoCellAnchor>
  <xdr:twoCellAnchor>
    <xdr:from>
      <xdr:col>6</xdr:col>
      <xdr:colOff>381000</xdr:colOff>
      <xdr:row>29</xdr:row>
      <xdr:rowOff>161925</xdr:rowOff>
    </xdr:from>
    <xdr:to>
      <xdr:col>7</xdr:col>
      <xdr:colOff>9525</xdr:colOff>
      <xdr:row>31</xdr:row>
      <xdr:rowOff>9525</xdr:rowOff>
    </xdr:to>
    <xdr:sp macro="" textlink="">
      <xdr:nvSpPr>
        <xdr:cNvPr id="8" name="Oval 7">
          <a:extLst>
            <a:ext uri="{FF2B5EF4-FFF2-40B4-BE49-F238E27FC236}">
              <a16:creationId xmlns:a16="http://schemas.microsoft.com/office/drawing/2014/main" id="{45D1ED6F-C0EF-4CD1-B28A-3D8E75FBA2FE}"/>
            </a:ext>
          </a:extLst>
        </xdr:cNvPr>
        <xdr:cNvSpPr/>
      </xdr:nvSpPr>
      <xdr:spPr>
        <a:xfrm>
          <a:off x="4029075" y="5791200"/>
          <a:ext cx="238125" cy="228600"/>
        </a:xfrm>
        <a:prstGeom prst="ellipse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tr-TR" sz="1200" b="1"/>
            <a:t>4</a:t>
          </a:r>
        </a:p>
      </xdr:txBody>
    </xdr:sp>
    <xdr:clientData/>
  </xdr:twoCellAnchor>
  <xdr:twoCellAnchor>
    <xdr:from>
      <xdr:col>6</xdr:col>
      <xdr:colOff>381000</xdr:colOff>
      <xdr:row>25</xdr:row>
      <xdr:rowOff>180975</xdr:rowOff>
    </xdr:from>
    <xdr:to>
      <xdr:col>7</xdr:col>
      <xdr:colOff>9525</xdr:colOff>
      <xdr:row>27</xdr:row>
      <xdr:rowOff>28575</xdr:rowOff>
    </xdr:to>
    <xdr:sp macro="" textlink="">
      <xdr:nvSpPr>
        <xdr:cNvPr id="9" name="Oval 8">
          <a:extLst>
            <a:ext uri="{FF2B5EF4-FFF2-40B4-BE49-F238E27FC236}">
              <a16:creationId xmlns:a16="http://schemas.microsoft.com/office/drawing/2014/main" id="{6800A5BA-9636-45B9-BC85-31A6217A5F51}"/>
            </a:ext>
          </a:extLst>
        </xdr:cNvPr>
        <xdr:cNvSpPr/>
      </xdr:nvSpPr>
      <xdr:spPr>
        <a:xfrm>
          <a:off x="4029075" y="5048250"/>
          <a:ext cx="238125" cy="228600"/>
        </a:xfrm>
        <a:prstGeom prst="ellipse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tr-TR" sz="1200" b="1"/>
            <a:t>2</a:t>
          </a:r>
        </a:p>
      </xdr:txBody>
    </xdr:sp>
    <xdr:clientData/>
  </xdr:twoCellAnchor>
  <xdr:twoCellAnchor>
    <xdr:from>
      <xdr:col>6</xdr:col>
      <xdr:colOff>381000</xdr:colOff>
      <xdr:row>31</xdr:row>
      <xdr:rowOff>114300</xdr:rowOff>
    </xdr:from>
    <xdr:to>
      <xdr:col>7</xdr:col>
      <xdr:colOff>9525</xdr:colOff>
      <xdr:row>32</xdr:row>
      <xdr:rowOff>152400</xdr:rowOff>
    </xdr:to>
    <xdr:sp macro="" textlink="">
      <xdr:nvSpPr>
        <xdr:cNvPr id="10" name="Oval 9">
          <a:extLst>
            <a:ext uri="{FF2B5EF4-FFF2-40B4-BE49-F238E27FC236}">
              <a16:creationId xmlns:a16="http://schemas.microsoft.com/office/drawing/2014/main" id="{EB7CE3BE-5BC8-4A12-A07C-21F7D6825151}"/>
            </a:ext>
          </a:extLst>
        </xdr:cNvPr>
        <xdr:cNvSpPr/>
      </xdr:nvSpPr>
      <xdr:spPr>
        <a:xfrm>
          <a:off x="4029075" y="6124575"/>
          <a:ext cx="238125" cy="228600"/>
        </a:xfrm>
        <a:prstGeom prst="ellipse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tr-TR" sz="1200" b="1"/>
            <a:t>5</a:t>
          </a:r>
        </a:p>
      </xdr:txBody>
    </xdr:sp>
    <xdr:clientData/>
  </xdr:twoCellAnchor>
  <xdr:twoCellAnchor>
    <xdr:from>
      <xdr:col>6</xdr:col>
      <xdr:colOff>381000</xdr:colOff>
      <xdr:row>41</xdr:row>
      <xdr:rowOff>180975</xdr:rowOff>
    </xdr:from>
    <xdr:to>
      <xdr:col>7</xdr:col>
      <xdr:colOff>9525</xdr:colOff>
      <xdr:row>41</xdr:row>
      <xdr:rowOff>409575</xdr:rowOff>
    </xdr:to>
    <xdr:sp macro="" textlink="">
      <xdr:nvSpPr>
        <xdr:cNvPr id="11" name="Oval 10">
          <a:extLst>
            <a:ext uri="{FF2B5EF4-FFF2-40B4-BE49-F238E27FC236}">
              <a16:creationId xmlns:a16="http://schemas.microsoft.com/office/drawing/2014/main" id="{13B38827-AE72-47B0-B70F-20F535626311}"/>
            </a:ext>
          </a:extLst>
        </xdr:cNvPr>
        <xdr:cNvSpPr/>
      </xdr:nvSpPr>
      <xdr:spPr>
        <a:xfrm>
          <a:off x="4029075" y="8096250"/>
          <a:ext cx="238125" cy="228600"/>
        </a:xfrm>
        <a:prstGeom prst="ellipse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tr-TR" sz="1200" b="1"/>
            <a:t>6</a:t>
          </a:r>
        </a:p>
      </xdr:txBody>
    </xdr:sp>
    <xdr:clientData/>
  </xdr:twoCellAnchor>
  <xdr:twoCellAnchor>
    <xdr:from>
      <xdr:col>10</xdr:col>
      <xdr:colOff>381000</xdr:colOff>
      <xdr:row>41</xdr:row>
      <xdr:rowOff>123825</xdr:rowOff>
    </xdr:from>
    <xdr:to>
      <xdr:col>11</xdr:col>
      <xdr:colOff>9525</xdr:colOff>
      <xdr:row>41</xdr:row>
      <xdr:rowOff>352425</xdr:rowOff>
    </xdr:to>
    <xdr:sp macro="" textlink="">
      <xdr:nvSpPr>
        <xdr:cNvPr id="13" name="Oval 12">
          <a:extLst>
            <a:ext uri="{FF2B5EF4-FFF2-40B4-BE49-F238E27FC236}">
              <a16:creationId xmlns:a16="http://schemas.microsoft.com/office/drawing/2014/main" id="{57427CAB-E709-417D-B91D-A4C2B2BC6636}"/>
            </a:ext>
          </a:extLst>
        </xdr:cNvPr>
        <xdr:cNvSpPr/>
      </xdr:nvSpPr>
      <xdr:spPr>
        <a:xfrm>
          <a:off x="6467475" y="8039100"/>
          <a:ext cx="238125" cy="228600"/>
        </a:xfrm>
        <a:prstGeom prst="ellipse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tr-TR" sz="1200" b="1"/>
            <a:t>9</a:t>
          </a:r>
        </a:p>
      </xdr:txBody>
    </xdr:sp>
    <xdr:clientData/>
  </xdr:twoCellAnchor>
  <xdr:twoCellAnchor>
    <xdr:from>
      <xdr:col>16</xdr:col>
      <xdr:colOff>552450</xdr:colOff>
      <xdr:row>39</xdr:row>
      <xdr:rowOff>114300</xdr:rowOff>
    </xdr:from>
    <xdr:to>
      <xdr:col>17</xdr:col>
      <xdr:colOff>180975</xdr:colOff>
      <xdr:row>40</xdr:row>
      <xdr:rowOff>152400</xdr:rowOff>
    </xdr:to>
    <xdr:sp macro="" textlink="">
      <xdr:nvSpPr>
        <xdr:cNvPr id="15" name="Oval 14">
          <a:extLst>
            <a:ext uri="{FF2B5EF4-FFF2-40B4-BE49-F238E27FC236}">
              <a16:creationId xmlns:a16="http://schemas.microsoft.com/office/drawing/2014/main" id="{EC883B24-3FA3-4B96-8E73-739BE55920E0}"/>
            </a:ext>
          </a:extLst>
        </xdr:cNvPr>
        <xdr:cNvSpPr/>
      </xdr:nvSpPr>
      <xdr:spPr>
        <a:xfrm>
          <a:off x="10296525" y="7648575"/>
          <a:ext cx="238125" cy="228600"/>
        </a:xfrm>
        <a:prstGeom prst="ellipse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tr-TR" sz="1200" b="1"/>
        </a:p>
      </xdr:txBody>
    </xdr:sp>
    <xdr:clientData/>
  </xdr:twoCellAnchor>
  <xdr:twoCellAnchor>
    <xdr:from>
      <xdr:col>16</xdr:col>
      <xdr:colOff>514350</xdr:colOff>
      <xdr:row>39</xdr:row>
      <xdr:rowOff>95250</xdr:rowOff>
    </xdr:from>
    <xdr:to>
      <xdr:col>17</xdr:col>
      <xdr:colOff>342900</xdr:colOff>
      <xdr:row>40</xdr:row>
      <xdr:rowOff>152400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CD2A6ACA-762A-435D-8B86-6990DF949A00}"/>
            </a:ext>
          </a:extLst>
        </xdr:cNvPr>
        <xdr:cNvSpPr txBox="1"/>
      </xdr:nvSpPr>
      <xdr:spPr>
        <a:xfrm>
          <a:off x="10258425" y="7629525"/>
          <a:ext cx="438150" cy="2476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r-TR" sz="1100" b="1">
              <a:solidFill>
                <a:schemeClr val="bg1"/>
              </a:solidFill>
            </a:rPr>
            <a:t>10</a:t>
          </a:r>
        </a:p>
      </xdr:txBody>
    </xdr:sp>
    <xdr:clientData/>
  </xdr:twoCellAnchor>
  <xdr:twoCellAnchor editAs="oneCell">
    <xdr:from>
      <xdr:col>1</xdr:col>
      <xdr:colOff>57150</xdr:colOff>
      <xdr:row>83</xdr:row>
      <xdr:rowOff>161925</xdr:rowOff>
    </xdr:from>
    <xdr:to>
      <xdr:col>11</xdr:col>
      <xdr:colOff>456433</xdr:colOff>
      <xdr:row>99</xdr:row>
      <xdr:rowOff>152020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66DEA93C-AAE9-47A4-9C6B-59FF2D7295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150" y="17916525"/>
          <a:ext cx="6133333" cy="3038095"/>
        </a:xfrm>
        <a:prstGeom prst="rect">
          <a:avLst/>
        </a:prstGeom>
      </xdr:spPr>
    </xdr:pic>
    <xdr:clientData/>
  </xdr:twoCellAnchor>
  <xdr:twoCellAnchor editAs="oneCell">
    <xdr:from>
      <xdr:col>11</xdr:col>
      <xdr:colOff>438150</xdr:colOff>
      <xdr:row>83</xdr:row>
      <xdr:rowOff>133351</xdr:rowOff>
    </xdr:from>
    <xdr:to>
      <xdr:col>21</xdr:col>
      <xdr:colOff>94483</xdr:colOff>
      <xdr:row>99</xdr:row>
      <xdr:rowOff>104775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703336BD-42AE-44CF-8593-D34B87C73B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238875" y="18335626"/>
          <a:ext cx="5895208" cy="3019424"/>
        </a:xfrm>
        <a:prstGeom prst="rect">
          <a:avLst/>
        </a:prstGeom>
      </xdr:spPr>
    </xdr:pic>
    <xdr:clientData/>
  </xdr:twoCellAnchor>
  <xdr:twoCellAnchor editAs="oneCell">
    <xdr:from>
      <xdr:col>1</xdr:col>
      <xdr:colOff>104775</xdr:colOff>
      <xdr:row>100</xdr:row>
      <xdr:rowOff>66675</xdr:rowOff>
    </xdr:from>
    <xdr:to>
      <xdr:col>13</xdr:col>
      <xdr:colOff>408668</xdr:colOff>
      <xdr:row>128</xdr:row>
      <xdr:rowOff>142199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07FAEA1-2EC8-41AF-AF29-5D968DF1BE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71450" y="21507450"/>
          <a:ext cx="7257143" cy="5409524"/>
        </a:xfrm>
        <a:prstGeom prst="rect">
          <a:avLst/>
        </a:prstGeom>
        <a:ln w="28575">
          <a:solidFill>
            <a:schemeClr val="tx1"/>
          </a:solidFill>
        </a:ln>
      </xdr:spPr>
    </xdr:pic>
    <xdr:clientData/>
  </xdr:twoCellAnchor>
  <xdr:twoCellAnchor editAs="oneCell">
    <xdr:from>
      <xdr:col>0</xdr:col>
      <xdr:colOff>0</xdr:colOff>
      <xdr:row>56</xdr:row>
      <xdr:rowOff>66675</xdr:rowOff>
    </xdr:from>
    <xdr:to>
      <xdr:col>13</xdr:col>
      <xdr:colOff>113408</xdr:colOff>
      <xdr:row>81</xdr:row>
      <xdr:rowOff>142270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B94AD375-E92B-42D8-BC3B-549795F921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0" y="13125450"/>
          <a:ext cx="7133333" cy="483809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47625</xdr:colOff>
      <xdr:row>12</xdr:row>
      <xdr:rowOff>1</xdr:rowOff>
    </xdr:from>
    <xdr:to>
      <xdr:col>14</xdr:col>
      <xdr:colOff>0</xdr:colOff>
      <xdr:row>20</xdr:row>
      <xdr:rowOff>285751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790C13A-9412-43E3-BC6A-A0297EA4F83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47624</xdr:colOff>
      <xdr:row>20</xdr:row>
      <xdr:rowOff>342900</xdr:rowOff>
    </xdr:from>
    <xdr:to>
      <xdr:col>14</xdr:col>
      <xdr:colOff>0</xdr:colOff>
      <xdr:row>33</xdr:row>
      <xdr:rowOff>165886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DC303F0-B492-446F-8ECF-6DE4D5488B9A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771525</xdr:colOff>
      <xdr:row>24</xdr:row>
      <xdr:rowOff>352425</xdr:rowOff>
    </xdr:from>
    <xdr:to>
      <xdr:col>13</xdr:col>
      <xdr:colOff>323850</xdr:colOff>
      <xdr:row>26</xdr:row>
      <xdr:rowOff>76200</xdr:rowOff>
    </xdr:to>
    <xdr:sp macro="" textlink="$E$17">
      <xdr:nvSpPr>
        <xdr:cNvPr id="5" name="TextBox 4">
          <a:extLst>
            <a:ext uri="{FF2B5EF4-FFF2-40B4-BE49-F238E27FC236}">
              <a16:creationId xmlns:a16="http://schemas.microsoft.com/office/drawing/2014/main" id="{E9F7B1D9-1BC1-4EF7-BB0B-94BFE7390DF2}"/>
            </a:ext>
          </a:extLst>
        </xdr:cNvPr>
        <xdr:cNvSpPr txBox="1"/>
      </xdr:nvSpPr>
      <xdr:spPr>
        <a:xfrm>
          <a:off x="8848725" y="6657975"/>
          <a:ext cx="2438400" cy="4476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8DAE250E-7938-4D26-9264-34720EC7B141}" type="TxLink">
            <a:rPr lang="en-US" sz="1200" b="1" i="1" u="none" strike="noStrike">
              <a:solidFill>
                <a:srgbClr val="000000"/>
              </a:solidFill>
              <a:latin typeface="Calibri"/>
              <a:ea typeface="Verdana" panose="020B0604030504040204" pitchFamily="34" charset="0"/>
              <a:cs typeface="Calibri"/>
            </a:rPr>
            <a:pPr algn="ctr"/>
            <a:t>37,5</a:t>
          </a:fld>
          <a:endParaRPr lang="en-US" sz="16600" b="1">
            <a:solidFill>
              <a:schemeClr val="tx1"/>
            </a:solidFill>
            <a:latin typeface="Gotham Black" pitchFamily="50" charset="0"/>
            <a:ea typeface="Verdana" panose="020B0604030504040204" pitchFamily="34" charset="0"/>
            <a:cs typeface="Aharoni" panose="02010803020104030203" pitchFamily="2" charset="-79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14285</xdr:rowOff>
    </xdr:from>
    <xdr:to>
      <xdr:col>7</xdr:col>
      <xdr:colOff>533401</xdr:colOff>
      <xdr:row>17</xdr:row>
      <xdr:rowOff>37296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5AF6333-5597-475F-9811-B22B43A75795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228600</xdr:colOff>
      <xdr:row>9</xdr:row>
      <xdr:rowOff>19049</xdr:rowOff>
    </xdr:from>
    <xdr:to>
      <xdr:col>6</xdr:col>
      <xdr:colOff>228600</xdr:colOff>
      <xdr:row>11</xdr:row>
      <xdr:rowOff>85724</xdr:rowOff>
    </xdr:to>
    <xdr:sp macro="" textlink="$Q$2">
      <xdr:nvSpPr>
        <xdr:cNvPr id="3" name="TextBox 2">
          <a:extLst>
            <a:ext uri="{FF2B5EF4-FFF2-40B4-BE49-F238E27FC236}">
              <a16:creationId xmlns:a16="http://schemas.microsoft.com/office/drawing/2014/main" id="{5CF4681C-78D2-4356-9580-37042D52D824}"/>
            </a:ext>
          </a:extLst>
        </xdr:cNvPr>
        <xdr:cNvSpPr txBox="1"/>
      </xdr:nvSpPr>
      <xdr:spPr>
        <a:xfrm>
          <a:off x="1447800" y="1733549"/>
          <a:ext cx="2438400" cy="4476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8748D6D1-6CBA-40CB-AC2C-9C157DB76950}" type="TxLink">
            <a:rPr lang="en-US" sz="2000" b="1" i="0" u="none" strike="noStrike">
              <a:solidFill>
                <a:srgbClr val="000000"/>
              </a:solidFill>
              <a:latin typeface="Gotham Black" pitchFamily="50" charset="0"/>
              <a:ea typeface="Verdana" panose="020B0604030504040204" pitchFamily="34" charset="0"/>
              <a:cs typeface="Aharoni" panose="02010803020104030203" pitchFamily="2" charset="-79"/>
            </a:rPr>
            <a:pPr algn="ctr"/>
            <a:t>37,53333333</a:t>
          </a:fld>
          <a:endParaRPr lang="en-US" sz="16600" b="1">
            <a:solidFill>
              <a:srgbClr val="FF0000"/>
            </a:solidFill>
            <a:latin typeface="Gotham Black" pitchFamily="50" charset="0"/>
            <a:ea typeface="Verdana" panose="020B0604030504040204" pitchFamily="34" charset="0"/>
            <a:cs typeface="Aharoni" panose="02010803020104030203" pitchFamily="2" charset="-79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yasin.engin@gmail.com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B1:T56"/>
  <sheetViews>
    <sheetView showGridLines="0" tabSelected="1" zoomScale="90" zoomScaleNormal="90" workbookViewId="0">
      <selection activeCell="R67" sqref="R67"/>
    </sheetView>
  </sheetViews>
  <sheetFormatPr defaultRowHeight="15" x14ac:dyDescent="0.25"/>
  <cols>
    <col min="1" max="1" width="1" customWidth="1"/>
    <col min="2" max="2" width="3.7109375" customWidth="1"/>
    <col min="20" max="20" width="11.28515625" customWidth="1"/>
  </cols>
  <sheetData>
    <row r="1" spans="2:15" ht="15.75" thickBot="1" x14ac:dyDescent="0.3"/>
    <row r="2" spans="2:15" ht="15" customHeight="1" x14ac:dyDescent="0.25">
      <c r="B2" s="104" t="s">
        <v>35</v>
      </c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6"/>
    </row>
    <row r="3" spans="2:15" ht="15" customHeight="1" thickBot="1" x14ac:dyDescent="0.3">
      <c r="B3" s="107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9"/>
    </row>
    <row r="4" spans="2:15" ht="15.75" thickBot="1" x14ac:dyDescent="0.3">
      <c r="C4" s="5"/>
      <c r="D4" s="5"/>
      <c r="E4" s="5"/>
      <c r="F4" s="5"/>
      <c r="G4" s="5"/>
      <c r="H4" s="5"/>
      <c r="I4" s="5"/>
      <c r="J4" s="5"/>
      <c r="K4" s="5"/>
      <c r="L4" s="5"/>
      <c r="M4" s="5"/>
    </row>
    <row r="5" spans="2:15" ht="19.5" thickBot="1" x14ac:dyDescent="0.35">
      <c r="B5" s="110" t="s">
        <v>66</v>
      </c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2"/>
      <c r="N5" s="113" t="s">
        <v>65</v>
      </c>
      <c r="O5" s="114"/>
    </row>
    <row r="6" spans="2:15" ht="15.75" thickBot="1" x14ac:dyDescent="0.3"/>
    <row r="7" spans="2:15" ht="16.5" customHeight="1" thickBot="1" x14ac:dyDescent="0.3">
      <c r="B7" s="101" t="s">
        <v>36</v>
      </c>
      <c r="C7" s="102"/>
      <c r="D7" s="102"/>
      <c r="E7" s="102"/>
      <c r="F7" s="102"/>
      <c r="G7" s="102"/>
      <c r="H7" s="102"/>
      <c r="I7" s="102"/>
      <c r="J7" s="102"/>
      <c r="K7" s="102"/>
      <c r="L7" s="102"/>
      <c r="M7" s="102"/>
      <c r="N7" s="102"/>
      <c r="O7" s="103"/>
    </row>
    <row r="42" spans="2:20" ht="67.5" customHeight="1" x14ac:dyDescent="0.25"/>
    <row r="43" spans="2:20" ht="18.75" x14ac:dyDescent="0.25">
      <c r="C43" s="115" t="s">
        <v>67</v>
      </c>
      <c r="D43" s="115"/>
      <c r="E43" s="115"/>
      <c r="F43" s="115"/>
      <c r="G43" s="115"/>
      <c r="H43" s="115"/>
      <c r="I43" s="115"/>
      <c r="J43" s="115"/>
      <c r="K43" s="115"/>
      <c r="L43" s="115"/>
      <c r="M43" s="115"/>
      <c r="N43" s="115"/>
      <c r="O43" s="115"/>
      <c r="P43" s="115"/>
      <c r="Q43" s="115"/>
      <c r="R43" s="115"/>
      <c r="S43" s="115"/>
      <c r="T43" s="115"/>
    </row>
    <row r="44" spans="2:20" ht="27" customHeight="1" x14ac:dyDescent="0.25">
      <c r="B44" s="77">
        <v>1</v>
      </c>
      <c r="C44" s="119" t="s">
        <v>68</v>
      </c>
      <c r="D44" s="119"/>
      <c r="E44" s="119"/>
      <c r="F44" s="119"/>
      <c r="G44" s="119"/>
      <c r="H44" s="119"/>
      <c r="I44" s="119"/>
      <c r="J44" s="119"/>
      <c r="K44" s="119"/>
      <c r="L44" s="119"/>
      <c r="M44" s="119"/>
      <c r="N44" s="119"/>
      <c r="O44" s="119"/>
      <c r="P44" s="119"/>
      <c r="Q44" s="119"/>
      <c r="R44" s="119"/>
      <c r="S44" s="119"/>
      <c r="T44" s="119"/>
    </row>
    <row r="45" spans="2:20" ht="27" customHeight="1" x14ac:dyDescent="0.25">
      <c r="B45" s="77">
        <v>2</v>
      </c>
      <c r="C45" s="116" t="s">
        <v>63</v>
      </c>
      <c r="D45" s="117"/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8"/>
    </row>
    <row r="46" spans="2:20" ht="27" customHeight="1" x14ac:dyDescent="0.25">
      <c r="B46" s="77">
        <v>3</v>
      </c>
      <c r="C46" s="116" t="s">
        <v>71</v>
      </c>
      <c r="D46" s="117"/>
      <c r="E46" s="117"/>
      <c r="F46" s="117"/>
      <c r="G46" s="117"/>
      <c r="H46" s="117"/>
      <c r="I46" s="117"/>
      <c r="J46" s="117"/>
      <c r="K46" s="117"/>
      <c r="L46" s="117"/>
      <c r="M46" s="117"/>
      <c r="N46" s="117"/>
      <c r="O46" s="117"/>
      <c r="P46" s="117"/>
      <c r="Q46" s="117"/>
      <c r="R46" s="117"/>
      <c r="S46" s="117"/>
      <c r="T46" s="118"/>
    </row>
    <row r="47" spans="2:20" ht="27" customHeight="1" x14ac:dyDescent="0.25">
      <c r="B47" s="77">
        <v>4</v>
      </c>
      <c r="C47" s="116" t="s">
        <v>72</v>
      </c>
      <c r="D47" s="117"/>
      <c r="E47" s="117"/>
      <c r="F47" s="117"/>
      <c r="G47" s="117"/>
      <c r="H47" s="117"/>
      <c r="I47" s="117"/>
      <c r="J47" s="117"/>
      <c r="K47" s="117"/>
      <c r="L47" s="117"/>
      <c r="M47" s="117"/>
      <c r="N47" s="117"/>
      <c r="O47" s="117"/>
      <c r="P47" s="117"/>
      <c r="Q47" s="117"/>
      <c r="R47" s="117"/>
      <c r="S47" s="117"/>
      <c r="T47" s="118"/>
    </row>
    <row r="48" spans="2:20" ht="27" customHeight="1" x14ac:dyDescent="0.25">
      <c r="B48" s="77">
        <v>5</v>
      </c>
      <c r="C48" s="116" t="s">
        <v>60</v>
      </c>
      <c r="D48" s="117"/>
      <c r="E48" s="117"/>
      <c r="F48" s="117"/>
      <c r="G48" s="117"/>
      <c r="H48" s="117"/>
      <c r="I48" s="117"/>
      <c r="J48" s="117"/>
      <c r="K48" s="117"/>
      <c r="L48" s="117"/>
      <c r="M48" s="117"/>
      <c r="N48" s="117"/>
      <c r="O48" s="117"/>
      <c r="P48" s="117"/>
      <c r="Q48" s="117"/>
      <c r="R48" s="117"/>
      <c r="S48" s="117"/>
      <c r="T48" s="118"/>
    </row>
    <row r="49" spans="2:20" ht="27" customHeight="1" x14ac:dyDescent="0.25">
      <c r="B49" s="77">
        <v>6</v>
      </c>
      <c r="C49" s="116" t="s">
        <v>61</v>
      </c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7"/>
      <c r="T49" s="118"/>
    </row>
    <row r="50" spans="2:20" ht="27" customHeight="1" x14ac:dyDescent="0.25">
      <c r="B50" s="77">
        <v>7</v>
      </c>
      <c r="C50" s="116" t="s">
        <v>62</v>
      </c>
      <c r="D50" s="117"/>
      <c r="E50" s="117"/>
      <c r="F50" s="117"/>
      <c r="G50" s="117"/>
      <c r="H50" s="117"/>
      <c r="I50" s="117"/>
      <c r="J50" s="117"/>
      <c r="K50" s="117"/>
      <c r="L50" s="117"/>
      <c r="M50" s="117"/>
      <c r="N50" s="117"/>
      <c r="O50" s="117"/>
      <c r="P50" s="117"/>
      <c r="Q50" s="117"/>
      <c r="R50" s="117"/>
      <c r="S50" s="117"/>
      <c r="T50" s="118"/>
    </row>
    <row r="51" spans="2:20" ht="27" customHeight="1" x14ac:dyDescent="0.25">
      <c r="B51" s="77">
        <v>8</v>
      </c>
      <c r="C51" s="116" t="s">
        <v>73</v>
      </c>
      <c r="D51" s="117"/>
      <c r="E51" s="117"/>
      <c r="F51" s="117"/>
      <c r="G51" s="117"/>
      <c r="H51" s="117"/>
      <c r="I51" s="117"/>
      <c r="J51" s="117"/>
      <c r="K51" s="117"/>
      <c r="L51" s="117"/>
      <c r="M51" s="117"/>
      <c r="N51" s="117"/>
      <c r="O51" s="117"/>
      <c r="P51" s="117"/>
      <c r="Q51" s="117"/>
      <c r="R51" s="117"/>
      <c r="S51" s="117"/>
      <c r="T51" s="118"/>
    </row>
    <row r="52" spans="2:20" ht="27" customHeight="1" x14ac:dyDescent="0.25">
      <c r="B52" s="77">
        <v>9</v>
      </c>
      <c r="C52" s="116" t="s">
        <v>74</v>
      </c>
      <c r="D52" s="117"/>
      <c r="E52" s="117"/>
      <c r="F52" s="117"/>
      <c r="G52" s="117"/>
      <c r="H52" s="117"/>
      <c r="I52" s="117"/>
      <c r="J52" s="117"/>
      <c r="K52" s="117"/>
      <c r="L52" s="117"/>
      <c r="M52" s="117"/>
      <c r="N52" s="117"/>
      <c r="O52" s="117"/>
      <c r="P52" s="117"/>
      <c r="Q52" s="117"/>
      <c r="R52" s="117"/>
      <c r="S52" s="117"/>
      <c r="T52" s="118"/>
    </row>
    <row r="53" spans="2:20" ht="27" customHeight="1" x14ac:dyDescent="0.25">
      <c r="B53" s="77">
        <v>10</v>
      </c>
      <c r="C53" s="116" t="s">
        <v>64</v>
      </c>
      <c r="D53" s="117"/>
      <c r="E53" s="117"/>
      <c r="F53" s="117"/>
      <c r="G53" s="117"/>
      <c r="H53" s="117"/>
      <c r="I53" s="117"/>
      <c r="J53" s="117"/>
      <c r="K53" s="117"/>
      <c r="L53" s="117"/>
      <c r="M53" s="117"/>
      <c r="N53" s="117"/>
      <c r="O53" s="117"/>
      <c r="P53" s="117"/>
      <c r="Q53" s="117"/>
      <c r="R53" s="117"/>
      <c r="S53" s="117"/>
      <c r="T53" s="118"/>
    </row>
    <row r="56" spans="2:20" ht="18.75" x14ac:dyDescent="0.3">
      <c r="B56" s="100" t="s">
        <v>84</v>
      </c>
      <c r="C56" s="100"/>
      <c r="D56" s="100"/>
      <c r="E56" s="100"/>
      <c r="F56" s="100"/>
      <c r="G56" s="100"/>
      <c r="H56" s="100"/>
      <c r="I56" s="100"/>
      <c r="J56" s="100"/>
      <c r="K56" s="100"/>
      <c r="L56" s="100"/>
      <c r="M56" s="100"/>
      <c r="N56" s="100"/>
      <c r="O56" s="100"/>
      <c r="P56" s="100"/>
      <c r="Q56" s="100"/>
      <c r="R56" s="100"/>
      <c r="S56" s="100"/>
      <c r="T56" s="100"/>
    </row>
  </sheetData>
  <sheetProtection algorithmName="SHA-512" hashValue="CMTGK/etTxP6JlB1WuBD7kdTHVi1IsyuSdQD0PYWmhSfx6/hdVOcMcvAFiQmHatSgMMm/dtux4+TqXa1qGCR8A==" saltValue="EHfxrbKmdnfvCYfiDicylA==" spinCount="100000" sheet="1" objects="1" scenarios="1"/>
  <mergeCells count="16">
    <mergeCell ref="B56:T56"/>
    <mergeCell ref="B7:O7"/>
    <mergeCell ref="B2:O3"/>
    <mergeCell ref="B5:M5"/>
    <mergeCell ref="N5:O5"/>
    <mergeCell ref="C43:T43"/>
    <mergeCell ref="C49:T49"/>
    <mergeCell ref="C50:T50"/>
    <mergeCell ref="C51:T51"/>
    <mergeCell ref="C52:T52"/>
    <mergeCell ref="C53:T53"/>
    <mergeCell ref="C44:T44"/>
    <mergeCell ref="C45:T45"/>
    <mergeCell ref="C46:T46"/>
    <mergeCell ref="C47:T47"/>
    <mergeCell ref="C48:T48"/>
  </mergeCells>
  <hyperlinks>
    <hyperlink ref="B5" r:id="rId1" display="yasin.engin@gmail.com" xr:uid="{00000000-0004-0000-0000-000001000000}"/>
  </hyperlinks>
  <pageMargins left="0.7" right="0.7" top="0.75" bottom="0.75" header="0.3" footer="0.3"/>
  <pageSetup paperSize="9" orientation="portrait" horizontalDpi="0" verticalDpi="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2060"/>
  </sheetPr>
  <dimension ref="B1:AB31"/>
  <sheetViews>
    <sheetView showGridLines="0" zoomScale="90" zoomScaleNormal="90" workbookViewId="0">
      <selection activeCell="H31" sqref="H31"/>
    </sheetView>
  </sheetViews>
  <sheetFormatPr defaultRowHeight="15" x14ac:dyDescent="0.25"/>
  <cols>
    <col min="1" max="1" width="0.140625" customWidth="1"/>
    <col min="2" max="2" width="0.42578125" customWidth="1"/>
    <col min="3" max="3" width="6.7109375" customWidth="1"/>
    <col min="4" max="4" width="18.28515625" customWidth="1"/>
    <col min="5" max="5" width="16.7109375" customWidth="1"/>
    <col min="6" max="7" width="14.42578125" bestFit="1" customWidth="1"/>
    <col min="8" max="8" width="16" customWidth="1"/>
    <col min="9" max="10" width="14.42578125" bestFit="1" customWidth="1"/>
    <col min="11" max="13" width="14.42578125" customWidth="1"/>
    <col min="14" max="14" width="15.140625" customWidth="1"/>
    <col min="15" max="15" width="0.42578125" customWidth="1"/>
    <col min="16" max="28" width="9.140625" style="91" customWidth="1"/>
    <col min="29" max="29" width="9.140625" customWidth="1"/>
  </cols>
  <sheetData>
    <row r="1" spans="2:27" ht="20.25" customHeight="1" thickBot="1" x14ac:dyDescent="0.3">
      <c r="B1" s="129" t="s">
        <v>83</v>
      </c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</row>
    <row r="2" spans="2:27" ht="5.25" customHeight="1" thickBot="1" x14ac:dyDescent="0.3"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9"/>
    </row>
    <row r="3" spans="2:27" ht="20.25" customHeight="1" thickBot="1" x14ac:dyDescent="0.3">
      <c r="B3" s="10"/>
      <c r="C3" s="139" t="s">
        <v>2</v>
      </c>
      <c r="D3" s="140"/>
      <c r="E3" s="143" t="s">
        <v>7</v>
      </c>
      <c r="F3" s="144"/>
      <c r="G3" s="144"/>
      <c r="H3" s="144"/>
      <c r="I3" s="144"/>
      <c r="J3" s="144"/>
      <c r="K3" s="144"/>
      <c r="L3" s="144"/>
      <c r="M3" s="144"/>
      <c r="N3" s="145"/>
      <c r="O3" s="12"/>
      <c r="Q3" s="92">
        <f t="shared" ref="Q3:Z3" si="0">AVERAGE(E5:E7)</f>
        <v>37.666666666666664</v>
      </c>
      <c r="R3" s="92">
        <f t="shared" si="0"/>
        <v>39.333333333333336</v>
      </c>
      <c r="S3" s="92">
        <f t="shared" si="0"/>
        <v>38</v>
      </c>
      <c r="T3" s="92">
        <f t="shared" si="0"/>
        <v>41.333333333333336</v>
      </c>
      <c r="U3" s="92">
        <f t="shared" si="0"/>
        <v>38</v>
      </c>
      <c r="V3" s="92">
        <f t="shared" si="0"/>
        <v>31</v>
      </c>
      <c r="W3" s="92">
        <f t="shared" si="0"/>
        <v>37.666666666666664</v>
      </c>
      <c r="X3" s="92" t="e">
        <f t="shared" si="0"/>
        <v>#DIV/0!</v>
      </c>
      <c r="Y3" s="92" t="e">
        <f t="shared" si="0"/>
        <v>#DIV/0!</v>
      </c>
      <c r="Z3" s="92" t="e">
        <f t="shared" si="0"/>
        <v>#DIV/0!</v>
      </c>
      <c r="AA3" s="92" t="e">
        <f>AVERAGE(#REF!)</f>
        <v>#REF!</v>
      </c>
    </row>
    <row r="4" spans="2:27" ht="18" customHeight="1" thickBot="1" x14ac:dyDescent="0.3">
      <c r="B4" s="10"/>
      <c r="C4" s="141"/>
      <c r="D4" s="142"/>
      <c r="E4" s="27" t="s">
        <v>8</v>
      </c>
      <c r="F4" s="22" t="s">
        <v>9</v>
      </c>
      <c r="G4" s="22" t="s">
        <v>10</v>
      </c>
      <c r="H4" s="22" t="s">
        <v>11</v>
      </c>
      <c r="I4" s="22" t="s">
        <v>12</v>
      </c>
      <c r="J4" s="22" t="s">
        <v>13</v>
      </c>
      <c r="K4" s="22" t="s">
        <v>14</v>
      </c>
      <c r="L4" s="22" t="s">
        <v>15</v>
      </c>
      <c r="M4" s="22" t="s">
        <v>16</v>
      </c>
      <c r="N4" s="22" t="s">
        <v>33</v>
      </c>
      <c r="O4" s="12"/>
      <c r="Q4" s="92">
        <f>0.15*Q3</f>
        <v>5.6499999999999995</v>
      </c>
      <c r="R4" s="92">
        <f t="shared" ref="R4:S4" si="1">0.15*R3</f>
        <v>5.9</v>
      </c>
      <c r="S4" s="92">
        <f t="shared" si="1"/>
        <v>5.7</v>
      </c>
      <c r="T4" s="92">
        <f t="shared" ref="T4:Z4" si="2">0.15*T3</f>
        <v>6.2</v>
      </c>
      <c r="U4" s="92">
        <f t="shared" si="2"/>
        <v>5.7</v>
      </c>
      <c r="V4" s="92">
        <f t="shared" si="2"/>
        <v>4.6499999999999995</v>
      </c>
      <c r="W4" s="92">
        <f t="shared" si="2"/>
        <v>5.6499999999999995</v>
      </c>
      <c r="X4" s="92" t="e">
        <f t="shared" si="2"/>
        <v>#DIV/0!</v>
      </c>
      <c r="Y4" s="92" t="e">
        <f t="shared" si="2"/>
        <v>#DIV/0!</v>
      </c>
      <c r="Z4" s="92" t="e">
        <f t="shared" si="2"/>
        <v>#DIV/0!</v>
      </c>
      <c r="AA4" s="92" t="e">
        <f t="shared" ref="AA4" si="3">0.15*AA3</f>
        <v>#REF!</v>
      </c>
    </row>
    <row r="5" spans="2:27" ht="15.75" customHeight="1" x14ac:dyDescent="0.25">
      <c r="B5" s="10"/>
      <c r="C5" s="137" t="s">
        <v>78</v>
      </c>
      <c r="D5" s="138"/>
      <c r="E5" s="68">
        <v>34</v>
      </c>
      <c r="F5" s="69">
        <v>37</v>
      </c>
      <c r="G5" s="69">
        <v>35</v>
      </c>
      <c r="H5" s="69">
        <v>40</v>
      </c>
      <c r="I5" s="69">
        <v>36</v>
      </c>
      <c r="J5" s="69">
        <v>30</v>
      </c>
      <c r="K5" s="69">
        <v>35</v>
      </c>
      <c r="L5" s="69"/>
      <c r="M5" s="69"/>
      <c r="N5" s="70"/>
      <c r="O5" s="12"/>
      <c r="Q5" s="92" t="str">
        <f t="shared" ref="Q5:Z5" si="4">IF(E5="","",IF(ABS(Q3-E5)/Q3&gt;0.15,"-","ok"))</f>
        <v>ok</v>
      </c>
      <c r="R5" s="92" t="str">
        <f t="shared" si="4"/>
        <v>ok</v>
      </c>
      <c r="S5" s="92" t="str">
        <f t="shared" si="4"/>
        <v>ok</v>
      </c>
      <c r="T5" s="92" t="str">
        <f t="shared" si="4"/>
        <v>ok</v>
      </c>
      <c r="U5" s="92" t="str">
        <f t="shared" si="4"/>
        <v>ok</v>
      </c>
      <c r="V5" s="92" t="str">
        <f t="shared" si="4"/>
        <v>ok</v>
      </c>
      <c r="W5" s="92" t="str">
        <f t="shared" si="4"/>
        <v>ok</v>
      </c>
      <c r="X5" s="92" t="str">
        <f t="shared" si="4"/>
        <v/>
      </c>
      <c r="Y5" s="92" t="str">
        <f t="shared" si="4"/>
        <v/>
      </c>
      <c r="Z5" s="92" t="str">
        <f t="shared" si="4"/>
        <v/>
      </c>
      <c r="AA5" s="92" t="e">
        <f>IF(#REF!="","",IF(ABS(AA3-#REF!)/AA3&gt;0.15,"-","ok"))</f>
        <v>#REF!</v>
      </c>
    </row>
    <row r="6" spans="2:27" ht="15.75" customHeight="1" x14ac:dyDescent="0.25">
      <c r="B6" s="10"/>
      <c r="C6" s="150" t="s">
        <v>79</v>
      </c>
      <c r="D6" s="151"/>
      <c r="E6" s="71">
        <v>39</v>
      </c>
      <c r="F6" s="72">
        <v>39</v>
      </c>
      <c r="G6" s="72">
        <v>39</v>
      </c>
      <c r="H6" s="72">
        <v>41</v>
      </c>
      <c r="I6" s="72">
        <v>37</v>
      </c>
      <c r="J6" s="72">
        <v>31</v>
      </c>
      <c r="K6" s="72">
        <v>37</v>
      </c>
      <c r="L6" s="72"/>
      <c r="M6" s="72"/>
      <c r="N6" s="73"/>
      <c r="O6" s="12"/>
      <c r="Q6" s="92" t="str">
        <f t="shared" ref="Q6:Z6" si="5">IF(E6="","",IF(ABS(Q3-E6)/Q3&gt;0.15,"-","ok"))</f>
        <v>ok</v>
      </c>
      <c r="R6" s="92" t="str">
        <f t="shared" si="5"/>
        <v>ok</v>
      </c>
      <c r="S6" s="92" t="str">
        <f t="shared" si="5"/>
        <v>ok</v>
      </c>
      <c r="T6" s="92" t="str">
        <f t="shared" si="5"/>
        <v>ok</v>
      </c>
      <c r="U6" s="92" t="str">
        <f t="shared" si="5"/>
        <v>ok</v>
      </c>
      <c r="V6" s="92" t="str">
        <f t="shared" si="5"/>
        <v>ok</v>
      </c>
      <c r="W6" s="92" t="str">
        <f t="shared" si="5"/>
        <v>ok</v>
      </c>
      <c r="X6" s="92" t="str">
        <f t="shared" si="5"/>
        <v/>
      </c>
      <c r="Y6" s="92" t="str">
        <f t="shared" si="5"/>
        <v/>
      </c>
      <c r="Z6" s="92" t="str">
        <f t="shared" si="5"/>
        <v/>
      </c>
      <c r="AA6" s="92" t="e">
        <f>IF(#REF!="","",IF(ABS(AA3-#REF!)/AA3&gt;0.15,"-","ok"))</f>
        <v>#REF!</v>
      </c>
    </row>
    <row r="7" spans="2:27" ht="16.5" customHeight="1" thickBot="1" x14ac:dyDescent="0.3">
      <c r="B7" s="10"/>
      <c r="C7" s="161" t="s">
        <v>80</v>
      </c>
      <c r="D7" s="162"/>
      <c r="E7" s="74">
        <v>40</v>
      </c>
      <c r="F7" s="75">
        <v>42</v>
      </c>
      <c r="G7" s="75">
        <v>40</v>
      </c>
      <c r="H7" s="75">
        <v>43</v>
      </c>
      <c r="I7" s="75">
        <v>41</v>
      </c>
      <c r="J7" s="75">
        <v>32</v>
      </c>
      <c r="K7" s="75">
        <v>41</v>
      </c>
      <c r="L7" s="75"/>
      <c r="M7" s="75"/>
      <c r="N7" s="76"/>
      <c r="O7" s="12"/>
      <c r="Q7" s="92" t="str">
        <f t="shared" ref="Q7:Z7" si="6">IF(E7="","",IF(ABS(Q3-E7)/Q3&gt;0.15,"-","ok"))</f>
        <v>ok</v>
      </c>
      <c r="R7" s="92" t="str">
        <f t="shared" si="6"/>
        <v>ok</v>
      </c>
      <c r="S7" s="92" t="str">
        <f t="shared" si="6"/>
        <v>ok</v>
      </c>
      <c r="T7" s="92" t="str">
        <f t="shared" si="6"/>
        <v>ok</v>
      </c>
      <c r="U7" s="92" t="str">
        <f t="shared" si="6"/>
        <v>ok</v>
      </c>
      <c r="V7" s="92" t="str">
        <f t="shared" si="6"/>
        <v>ok</v>
      </c>
      <c r="W7" s="92" t="str">
        <f t="shared" si="6"/>
        <v>ok</v>
      </c>
      <c r="X7" s="92" t="str">
        <f t="shared" si="6"/>
        <v/>
      </c>
      <c r="Y7" s="92" t="str">
        <f t="shared" si="6"/>
        <v/>
      </c>
      <c r="Z7" s="92" t="str">
        <f t="shared" si="6"/>
        <v/>
      </c>
      <c r="AA7" s="92" t="e">
        <f>IF(#REF!="","",IF(ABS(AA3-#REF!)/AA3&gt;0.15,"-","ok"))</f>
        <v>#REF!</v>
      </c>
    </row>
    <row r="8" spans="2:27" ht="20.25" x14ac:dyDescent="0.25">
      <c r="B8" s="10"/>
      <c r="C8" s="159" t="s">
        <v>32</v>
      </c>
      <c r="D8" s="160"/>
      <c r="E8" s="88">
        <f t="shared" ref="E8" si="7">IF(ISERROR(AVERAGE(E5:E7)),"",(AVERAGE(E5:E7)))</f>
        <v>37.666666666666664</v>
      </c>
      <c r="F8" s="89">
        <f t="shared" ref="F8:N8" si="8">IF(ISERROR(AVERAGE(F5:F7)),"",(AVERAGE(F5:F7)))</f>
        <v>39.333333333333336</v>
      </c>
      <c r="G8" s="89">
        <f t="shared" si="8"/>
        <v>38</v>
      </c>
      <c r="H8" s="89">
        <f t="shared" si="8"/>
        <v>41.333333333333336</v>
      </c>
      <c r="I8" s="89">
        <f t="shared" si="8"/>
        <v>38</v>
      </c>
      <c r="J8" s="89">
        <f t="shared" si="8"/>
        <v>31</v>
      </c>
      <c r="K8" s="89">
        <f t="shared" si="8"/>
        <v>37.666666666666664</v>
      </c>
      <c r="L8" s="89" t="str">
        <f t="shared" si="8"/>
        <v/>
      </c>
      <c r="M8" s="89" t="str">
        <f t="shared" si="8"/>
        <v/>
      </c>
      <c r="N8" s="90" t="str">
        <f t="shared" si="8"/>
        <v/>
      </c>
      <c r="O8" s="12"/>
      <c r="Q8" s="93" t="str">
        <f>IF(OR(Q5="-",Q6="-",Q7="-"),"red","kabul")</f>
        <v>kabul</v>
      </c>
      <c r="R8" s="93" t="str">
        <f t="shared" ref="R8:S8" si="9">IF(OR(R5="-",R6="-",R7="-"),"red","kabul")</f>
        <v>kabul</v>
      </c>
      <c r="S8" s="93" t="str">
        <f t="shared" si="9"/>
        <v>kabul</v>
      </c>
      <c r="T8" s="93" t="str">
        <f t="shared" ref="T8:Z8" si="10">IF(OR(T5="-",T6="-",T7="-"),"red","kabul")</f>
        <v>kabul</v>
      </c>
      <c r="U8" s="93" t="str">
        <f t="shared" si="10"/>
        <v>kabul</v>
      </c>
      <c r="V8" s="93" t="str">
        <f t="shared" si="10"/>
        <v>kabul</v>
      </c>
      <c r="W8" s="93" t="str">
        <f t="shared" si="10"/>
        <v>kabul</v>
      </c>
      <c r="X8" s="93" t="str">
        <f t="shared" si="10"/>
        <v>kabul</v>
      </c>
      <c r="Y8" s="93" t="str">
        <f t="shared" si="10"/>
        <v>kabul</v>
      </c>
      <c r="Z8" s="93" t="str">
        <f t="shared" si="10"/>
        <v>kabul</v>
      </c>
      <c r="AA8" s="93" t="e">
        <f t="shared" ref="AA8" si="11">IF(OR(AA5="-",AA6="-",AA7="-"),"red","kabul")</f>
        <v>#REF!</v>
      </c>
    </row>
    <row r="9" spans="2:27" ht="18.75" x14ac:dyDescent="0.25">
      <c r="B9" s="10"/>
      <c r="C9" s="122" t="s">
        <v>77</v>
      </c>
      <c r="D9" s="123"/>
      <c r="E9" s="81">
        <f>IF(E8="","",MAX(E5:E7)-MIN(E5:E7))</f>
        <v>6</v>
      </c>
      <c r="F9" s="82">
        <f t="shared" ref="F9:N9" si="12">IF(F8="","",MAX(F5:F7)-MIN(F5:F7))</f>
        <v>5</v>
      </c>
      <c r="G9" s="82">
        <f t="shared" si="12"/>
        <v>5</v>
      </c>
      <c r="H9" s="82">
        <f t="shared" si="12"/>
        <v>3</v>
      </c>
      <c r="I9" s="82">
        <f t="shared" si="12"/>
        <v>5</v>
      </c>
      <c r="J9" s="82">
        <f t="shared" si="12"/>
        <v>2</v>
      </c>
      <c r="K9" s="82">
        <f t="shared" si="12"/>
        <v>6</v>
      </c>
      <c r="L9" s="82" t="str">
        <f t="shared" si="12"/>
        <v/>
      </c>
      <c r="M9" s="82" t="str">
        <f t="shared" si="12"/>
        <v/>
      </c>
      <c r="N9" s="83" t="str">
        <f t="shared" si="12"/>
        <v/>
      </c>
      <c r="O9" s="12"/>
      <c r="Q9" s="93"/>
      <c r="R9" s="93"/>
      <c r="S9" s="93"/>
      <c r="T9" s="93"/>
      <c r="U9" s="93"/>
      <c r="V9" s="93"/>
      <c r="W9" s="93"/>
      <c r="X9" s="93"/>
      <c r="Y9" s="93"/>
      <c r="Z9" s="93"/>
      <c r="AA9" s="93"/>
    </row>
    <row r="10" spans="2:27" ht="19.5" thickBot="1" x14ac:dyDescent="0.3">
      <c r="B10" s="10"/>
      <c r="C10" s="124" t="s">
        <v>75</v>
      </c>
      <c r="D10" s="125"/>
      <c r="E10" s="84">
        <f>IF(E8="","",0.15*E8)</f>
        <v>5.6499999999999995</v>
      </c>
      <c r="F10" s="85">
        <f t="shared" ref="F10:N10" si="13">IF(F8="","",0.15*F8)</f>
        <v>5.9</v>
      </c>
      <c r="G10" s="85">
        <f t="shared" si="13"/>
        <v>5.7</v>
      </c>
      <c r="H10" s="85">
        <f t="shared" si="13"/>
        <v>6.2</v>
      </c>
      <c r="I10" s="85">
        <f t="shared" si="13"/>
        <v>5.7</v>
      </c>
      <c r="J10" s="85">
        <f t="shared" si="13"/>
        <v>4.6499999999999995</v>
      </c>
      <c r="K10" s="85">
        <f t="shared" si="13"/>
        <v>5.6499999999999995</v>
      </c>
      <c r="L10" s="85" t="str">
        <f t="shared" si="13"/>
        <v/>
      </c>
      <c r="M10" s="85" t="str">
        <f t="shared" si="13"/>
        <v/>
      </c>
      <c r="N10" s="86" t="str">
        <f t="shared" si="13"/>
        <v/>
      </c>
      <c r="O10" s="12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</row>
    <row r="11" spans="2:27" ht="16.5" customHeight="1" thickBot="1" x14ac:dyDescent="0.3">
      <c r="B11" s="10"/>
      <c r="C11" s="96" t="s">
        <v>81</v>
      </c>
      <c r="D11" s="96" t="s">
        <v>49</v>
      </c>
      <c r="E11" s="79" t="str">
        <f t="shared" ref="E11:N11" si="14">IF(E5="","",Q12)</f>
        <v>red</v>
      </c>
      <c r="F11" s="80" t="str">
        <f t="shared" si="14"/>
        <v>kabul</v>
      </c>
      <c r="G11" s="79" t="str">
        <f t="shared" si="14"/>
        <v>kabul</v>
      </c>
      <c r="H11" s="79" t="str">
        <f t="shared" si="14"/>
        <v>kabul</v>
      </c>
      <c r="I11" s="79" t="str">
        <f t="shared" si="14"/>
        <v>kabul</v>
      </c>
      <c r="J11" s="79" t="str">
        <f t="shared" si="14"/>
        <v>kabul</v>
      </c>
      <c r="K11" s="79" t="str">
        <f t="shared" si="14"/>
        <v>red</v>
      </c>
      <c r="L11" s="79" t="str">
        <f t="shared" si="14"/>
        <v/>
      </c>
      <c r="M11" s="79" t="str">
        <f t="shared" si="14"/>
        <v/>
      </c>
      <c r="N11" s="80" t="str">
        <f t="shared" si="14"/>
        <v/>
      </c>
      <c r="O11" s="12"/>
      <c r="Q11" s="93">
        <f t="shared" ref="Q11:Z11" si="15">COUNT(E5:E7)</f>
        <v>3</v>
      </c>
      <c r="R11" s="93">
        <f t="shared" si="15"/>
        <v>3</v>
      </c>
      <c r="S11" s="93">
        <f t="shared" si="15"/>
        <v>3</v>
      </c>
      <c r="T11" s="93">
        <f t="shared" si="15"/>
        <v>3</v>
      </c>
      <c r="U11" s="93">
        <f t="shared" si="15"/>
        <v>3</v>
      </c>
      <c r="V11" s="93">
        <f t="shared" si="15"/>
        <v>3</v>
      </c>
      <c r="W11" s="93">
        <f t="shared" si="15"/>
        <v>3</v>
      </c>
      <c r="X11" s="93">
        <f t="shared" si="15"/>
        <v>0</v>
      </c>
      <c r="Y11" s="93">
        <f t="shared" si="15"/>
        <v>0</v>
      </c>
      <c r="Z11" s="93">
        <f t="shared" si="15"/>
        <v>0</v>
      </c>
      <c r="AA11" s="93">
        <f>COUNT(#REF!)</f>
        <v>0</v>
      </c>
    </row>
    <row r="12" spans="2:27" ht="13.5" hidden="1" customHeight="1" thickBot="1" x14ac:dyDescent="0.3">
      <c r="B12" s="10"/>
      <c r="C12" s="78" t="s">
        <v>82</v>
      </c>
      <c r="D12" s="78" t="s">
        <v>49</v>
      </c>
      <c r="E12" s="79" t="str">
        <f>IFERROR(IF(AND(MAX(E5:E7)&lt;=E8+E10,MIN(E5:E7)&gt;=E8-E10),"kabul","red"),"")</f>
        <v>kabul</v>
      </c>
      <c r="F12" s="80" t="str">
        <f t="shared" ref="F12:N12" si="16">IFERROR(IF(AND(MAX(F5:F7)&lt;=F8+F10,MIN(F5:F7)&gt;=F8-F10),"kabul","red"),"")</f>
        <v>kabul</v>
      </c>
      <c r="G12" s="79" t="str">
        <f t="shared" si="16"/>
        <v>kabul</v>
      </c>
      <c r="H12" s="79" t="str">
        <f t="shared" si="16"/>
        <v>kabul</v>
      </c>
      <c r="I12" s="79" t="str">
        <f t="shared" si="16"/>
        <v>kabul</v>
      </c>
      <c r="J12" s="79" t="str">
        <f t="shared" si="16"/>
        <v>kabul</v>
      </c>
      <c r="K12" s="79" t="str">
        <f t="shared" si="16"/>
        <v>kabul</v>
      </c>
      <c r="L12" s="79" t="str">
        <f t="shared" si="16"/>
        <v/>
      </c>
      <c r="M12" s="79" t="str">
        <f t="shared" si="16"/>
        <v/>
      </c>
      <c r="N12" s="80" t="str">
        <f t="shared" si="16"/>
        <v/>
      </c>
      <c r="O12" s="12"/>
      <c r="Q12" s="93" t="str">
        <f t="shared" ref="Q12:Z12" si="17">IF((MAX(E5:E7)-MIN(E5:E7))&lt;=Q4,"kabul","red")</f>
        <v>red</v>
      </c>
      <c r="R12" s="93" t="str">
        <f t="shared" si="17"/>
        <v>kabul</v>
      </c>
      <c r="S12" s="93" t="str">
        <f t="shared" si="17"/>
        <v>kabul</v>
      </c>
      <c r="T12" s="93" t="str">
        <f t="shared" si="17"/>
        <v>kabul</v>
      </c>
      <c r="U12" s="93" t="str">
        <f t="shared" si="17"/>
        <v>kabul</v>
      </c>
      <c r="V12" s="93" t="str">
        <f t="shared" si="17"/>
        <v>kabul</v>
      </c>
      <c r="W12" s="93" t="str">
        <f t="shared" si="17"/>
        <v>red</v>
      </c>
      <c r="X12" s="93" t="e">
        <f t="shared" si="17"/>
        <v>#DIV/0!</v>
      </c>
      <c r="Y12" s="93" t="e">
        <f t="shared" si="17"/>
        <v>#DIV/0!</v>
      </c>
      <c r="Z12" s="93" t="e">
        <f t="shared" si="17"/>
        <v>#DIV/0!</v>
      </c>
      <c r="AA12" s="93" t="e">
        <f>IF((MAX(#REF!)-MIN(#REF!))&lt;=AA4,"kabul","red")</f>
        <v>#REF!</v>
      </c>
    </row>
    <row r="13" spans="2:27" ht="30" customHeight="1" thickBot="1" x14ac:dyDescent="0.3">
      <c r="B13" s="10"/>
      <c r="C13" s="154" t="s">
        <v>45</v>
      </c>
      <c r="D13" s="155"/>
      <c r="E13" s="156"/>
      <c r="F13" s="11"/>
      <c r="G13" s="146" t="s">
        <v>25</v>
      </c>
      <c r="H13" s="28" t="str">
        <f>Sheet4!H16</f>
        <v>150 mm'lik küp'e</v>
      </c>
      <c r="I13" s="148" t="str">
        <f>T30</f>
        <v>1. Kriter             ≥ 39 MPa</v>
      </c>
      <c r="J13" s="152" t="str">
        <f>T31</f>
        <v>2. Kriter             ≥ 33 MPa</v>
      </c>
      <c r="K13" s="11"/>
      <c r="L13" s="11"/>
      <c r="M13" s="11"/>
      <c r="N13" s="11"/>
      <c r="O13" s="12"/>
      <c r="Q13" s="93">
        <f t="shared" ref="Q13:Z13" si="18">IF(AND(E11="red",(MAX(E5:E7)-AVERAGE(E5:E7))&gt;(AVERAGE(E5:E7)-MIN(E5:E7))),MAX(E7),MIN(E5:E7))</f>
        <v>34</v>
      </c>
      <c r="R13" s="93">
        <f t="shared" si="18"/>
        <v>37</v>
      </c>
      <c r="S13" s="93">
        <f t="shared" si="18"/>
        <v>35</v>
      </c>
      <c r="T13" s="93">
        <f t="shared" si="18"/>
        <v>40</v>
      </c>
      <c r="U13" s="93">
        <f t="shared" si="18"/>
        <v>36</v>
      </c>
      <c r="V13" s="93">
        <f t="shared" si="18"/>
        <v>30</v>
      </c>
      <c r="W13" s="93">
        <f t="shared" si="18"/>
        <v>41</v>
      </c>
      <c r="X13" s="93" t="e">
        <f t="shared" si="18"/>
        <v>#DIV/0!</v>
      </c>
      <c r="Y13" s="93" t="e">
        <f t="shared" si="18"/>
        <v>#DIV/0!</v>
      </c>
      <c r="Z13" s="93" t="e">
        <f t="shared" si="18"/>
        <v>#DIV/0!</v>
      </c>
      <c r="AA13" s="93"/>
    </row>
    <row r="14" spans="2:27" ht="30.75" thickBot="1" x14ac:dyDescent="0.3">
      <c r="B14" s="10"/>
      <c r="C14" s="157" t="s">
        <v>44</v>
      </c>
      <c r="D14" s="158"/>
      <c r="E14" s="44" t="str">
        <f>C3</f>
        <v>C30/37</v>
      </c>
      <c r="F14" s="6"/>
      <c r="G14" s="147"/>
      <c r="H14" s="29" t="s">
        <v>43</v>
      </c>
      <c r="I14" s="149"/>
      <c r="J14" s="153"/>
      <c r="K14" s="19"/>
      <c r="L14" s="19"/>
      <c r="M14" s="19"/>
      <c r="N14" s="19"/>
      <c r="O14" s="12"/>
      <c r="P14" s="94"/>
    </row>
    <row r="15" spans="2:27" ht="30" customHeight="1" x14ac:dyDescent="0.25">
      <c r="B15" s="10"/>
      <c r="C15" s="120" t="s">
        <v>19</v>
      </c>
      <c r="D15" s="121"/>
      <c r="E15" s="45">
        <f>COUNT(E5:N5)</f>
        <v>7</v>
      </c>
      <c r="F15" s="11"/>
      <c r="G15" s="38" t="s">
        <v>8</v>
      </c>
      <c r="H15" s="41" t="str">
        <f>IF(E11="red","",IFERROR(IF($E$18=Sheet4!$A$16,0.95*'BETON UYGUNLUK DEĞERLENDİRME'!E8,IF('BETON UYGUNLUK DEĞERLENDİRME'!$E$18=Sheet4!$A$18,0.97*'BETON UYGUNLUK DEĞERLENDİRME'!E8,'BETON UYGUNLUK DEĞERLENDİRME'!E8)),""))</f>
        <v/>
      </c>
      <c r="I15" s="132" t="str">
        <f>IF(E5="","",IFERROR(IF(Q15=FALSE,"UYGULANMAZ",IF(E17&gt;=Q15,"UYGUN","UYGUN DEĞİL")),""))</f>
        <v>UYGUN DEĞİL</v>
      </c>
      <c r="J15" s="35" t="str">
        <f>IF(AA15="red","",IFERROR(IF(P15="","",IFERROR(IF(P15&gt;=R15,"UYGUN","UYGUN DEĞİL"),"")),""))</f>
        <v/>
      </c>
      <c r="K15" s="16"/>
      <c r="L15" s="16"/>
      <c r="M15" s="16"/>
      <c r="N15" s="16"/>
      <c r="O15" s="12"/>
      <c r="P15" s="94" t="str">
        <f>H15</f>
        <v/>
      </c>
      <c r="Q15" s="91">
        <f>IF(OR($E$15=2,$E$15=3,$E$15=4),$E$16+1,IF($E$15&gt;=5,$E$16+2))</f>
        <v>39</v>
      </c>
      <c r="R15" s="91">
        <f>$E$16-4</f>
        <v>33</v>
      </c>
      <c r="T15" s="91" t="str">
        <f t="array" ref="T15:T24">TRANSPOSE(E11:N11)</f>
        <v>red</v>
      </c>
      <c r="U15" s="91">
        <v>1</v>
      </c>
      <c r="V15" s="91">
        <f>IF(OR(E18=Sheet4!A15,'BETON UYGUNLUK DEĞERLENDİRME'!E18=Sheet4!A16),'BETON UYGUNLUK DEĞERLENDİRME'!Q15,'BETON UYGUNLUK DEĞERLENDİRME'!R15)</f>
        <v>39</v>
      </c>
      <c r="X15" s="91">
        <f t="array" ref="X15:X24">TRANSPOSE(E8:N8)</f>
        <v>37.666666666666664</v>
      </c>
      <c r="AA15" s="91" t="str">
        <f>E11</f>
        <v>red</v>
      </c>
    </row>
    <row r="16" spans="2:27" ht="30" customHeight="1" x14ac:dyDescent="0.25">
      <c r="B16" s="10"/>
      <c r="C16" s="120" t="s">
        <v>40</v>
      </c>
      <c r="D16" s="121"/>
      <c r="E16" s="46">
        <f>IFERROR(IF(OR(E18=Sheet4!A15,E18=Sheet4!A16),LOOKUP(C3,Sheet4!A4:A11,Sheet4!B4:B11),LOOKUP(C3,Sheet4!A4:A11,Sheet4!C4:C11)),"")</f>
        <v>37</v>
      </c>
      <c r="F16" s="11"/>
      <c r="G16" s="39" t="s">
        <v>9</v>
      </c>
      <c r="H16" s="42">
        <f>IF(OR(F11="red",F11=""),"",IFERROR(IF($E$18=Sheet4!$A$16,0.95*'BETON UYGUNLUK DEĞERLENDİRME'!F8,IF('BETON UYGUNLUK DEĞERLENDİRME'!$E$18=Sheet4!$A$18,0.97*'BETON UYGUNLUK DEĞERLENDİRME'!F8,'BETON UYGUNLUK DEĞERLENDİRME'!F8)),""))</f>
        <v>39.333333333333336</v>
      </c>
      <c r="I16" s="132"/>
      <c r="J16" s="36" t="str">
        <f t="shared" ref="J16:J24" si="19">IF(AA16="red","",IFERROR(IF(P16="","",IFERROR(IF(P16&gt;=R16,"UYGUN","UYGUN DEĞİL"),"")),""))</f>
        <v>UYGUN</v>
      </c>
      <c r="K16" s="16"/>
      <c r="L16" s="16"/>
      <c r="M16" s="16"/>
      <c r="N16" s="16"/>
      <c r="O16" s="12"/>
      <c r="P16" s="94">
        <f t="shared" ref="P16:P24" si="20">H16</f>
        <v>39.333333333333336</v>
      </c>
      <c r="Q16" s="91">
        <f t="shared" ref="Q16:Q25" si="21">IF(OR($E$15=2,$E$15=3,$E$15=4),$E$16+1,IF($E$15&gt;=5,$E$16+2))</f>
        <v>39</v>
      </c>
      <c r="R16" s="91">
        <f t="shared" ref="R16:R25" si="22">$E$16-4</f>
        <v>33</v>
      </c>
      <c r="T16" s="91" t="str">
        <v>kabul</v>
      </c>
      <c r="U16" s="91">
        <v>2</v>
      </c>
      <c r="V16" s="91">
        <f>$V$15</f>
        <v>39</v>
      </c>
      <c r="X16" s="94">
        <v>39.333333333333336</v>
      </c>
      <c r="AA16" s="91" t="str">
        <f>F11</f>
        <v>kabul</v>
      </c>
    </row>
    <row r="17" spans="2:27" ht="30" customHeight="1" x14ac:dyDescent="0.25">
      <c r="B17" s="10"/>
      <c r="C17" s="130" t="s">
        <v>41</v>
      </c>
      <c r="D17" s="131"/>
      <c r="E17" s="46">
        <f>IFERROR(AVERAGE(H15:H24),"")</f>
        <v>37.533333333333339</v>
      </c>
      <c r="F17" s="11"/>
      <c r="G17" s="39" t="s">
        <v>10</v>
      </c>
      <c r="H17" s="42">
        <f>IF(OR(G11="red",G11=""),"",IFERROR(IF($E$18=Sheet4!$A$16,0.95*'BETON UYGUNLUK DEĞERLENDİRME'!G8,IF('BETON UYGUNLUK DEĞERLENDİRME'!$E$18=Sheet4!$A$18,0.97*'BETON UYGUNLUK DEĞERLENDİRME'!G8,'BETON UYGUNLUK DEĞERLENDİRME'!G8)),""))</f>
        <v>38</v>
      </c>
      <c r="I17" s="132"/>
      <c r="J17" s="36" t="str">
        <f t="shared" si="19"/>
        <v>UYGUN</v>
      </c>
      <c r="K17" s="16"/>
      <c r="L17" s="16"/>
      <c r="M17" s="16"/>
      <c r="N17" s="16"/>
      <c r="O17" s="12"/>
      <c r="P17" s="94">
        <f t="shared" si="20"/>
        <v>38</v>
      </c>
      <c r="Q17" s="91">
        <f t="shared" si="21"/>
        <v>39</v>
      </c>
      <c r="R17" s="91">
        <f t="shared" si="22"/>
        <v>33</v>
      </c>
      <c r="T17" s="91" t="str">
        <v>kabul</v>
      </c>
      <c r="U17" s="91">
        <v>3</v>
      </c>
      <c r="V17" s="91">
        <f t="shared" ref="V17:V24" si="23">$V$15</f>
        <v>39</v>
      </c>
      <c r="X17" s="91">
        <v>38</v>
      </c>
      <c r="AA17" s="91" t="str">
        <f>G11</f>
        <v>kabul</v>
      </c>
    </row>
    <row r="18" spans="2:27" ht="30" customHeight="1" x14ac:dyDescent="0.25">
      <c r="B18" s="10"/>
      <c r="C18" s="130" t="s">
        <v>26</v>
      </c>
      <c r="D18" s="131"/>
      <c r="E18" s="66" t="s">
        <v>27</v>
      </c>
      <c r="F18" s="20" t="str">
        <f>Sheet4!L4</f>
        <v/>
      </c>
      <c r="G18" s="39" t="s">
        <v>11</v>
      </c>
      <c r="H18" s="42">
        <f>IF(OR(H11="red",H11=""),"",IFERROR(IF($E$18=Sheet4!$A$16,0.95*'BETON UYGUNLUK DEĞERLENDİRME'!H8,IF('BETON UYGUNLUK DEĞERLENDİRME'!$E$18=Sheet4!$A$18,0.97*'BETON UYGUNLUK DEĞERLENDİRME'!H8,'BETON UYGUNLUK DEĞERLENDİRME'!H8)),""))</f>
        <v>41.333333333333336</v>
      </c>
      <c r="I18" s="132"/>
      <c r="J18" s="36" t="str">
        <f t="shared" si="19"/>
        <v>UYGUN</v>
      </c>
      <c r="K18" s="16"/>
      <c r="L18" s="16"/>
      <c r="M18" s="16"/>
      <c r="N18" s="16"/>
      <c r="O18" s="12"/>
      <c r="P18" s="94">
        <f t="shared" si="20"/>
        <v>41.333333333333336</v>
      </c>
      <c r="Q18" s="91">
        <f t="shared" si="21"/>
        <v>39</v>
      </c>
      <c r="R18" s="91">
        <f t="shared" si="22"/>
        <v>33</v>
      </c>
      <c r="T18" s="91" t="str">
        <v>kabul</v>
      </c>
      <c r="U18" s="91">
        <v>4</v>
      </c>
      <c r="V18" s="91">
        <f t="shared" si="23"/>
        <v>39</v>
      </c>
      <c r="X18" s="91">
        <v>41.333333333333336</v>
      </c>
      <c r="AA18" s="91" t="str">
        <f>I11</f>
        <v>kabul</v>
      </c>
    </row>
    <row r="19" spans="2:27" ht="30" customHeight="1" x14ac:dyDescent="0.25">
      <c r="B19" s="10"/>
      <c r="C19" s="133" t="s">
        <v>42</v>
      </c>
      <c r="D19" s="134"/>
      <c r="E19" s="67">
        <v>280</v>
      </c>
      <c r="F19" s="11"/>
      <c r="G19" s="39" t="s">
        <v>12</v>
      </c>
      <c r="H19" s="42">
        <f>IF(OR(I11="red",I11=""),"",IFERROR(IF($E$18=Sheet4!$A$16,0.95*'BETON UYGUNLUK DEĞERLENDİRME'!I8,IF('BETON UYGUNLUK DEĞERLENDİRME'!$E$18=Sheet4!$A$18,0.97*'BETON UYGUNLUK DEĞERLENDİRME'!I8,'BETON UYGUNLUK DEĞERLENDİRME'!I8)),""))</f>
        <v>38</v>
      </c>
      <c r="I19" s="132"/>
      <c r="J19" s="36" t="str">
        <f t="shared" si="19"/>
        <v>UYGUN</v>
      </c>
      <c r="K19" s="16"/>
      <c r="L19" s="16"/>
      <c r="M19" s="16"/>
      <c r="N19" s="16"/>
      <c r="O19" s="12"/>
      <c r="P19" s="94">
        <f t="shared" si="20"/>
        <v>38</v>
      </c>
      <c r="Q19" s="91">
        <f t="shared" si="21"/>
        <v>39</v>
      </c>
      <c r="R19" s="91">
        <f t="shared" si="22"/>
        <v>33</v>
      </c>
      <c r="T19" s="91" t="str">
        <v>kabul</v>
      </c>
      <c r="U19" s="91">
        <v>5</v>
      </c>
      <c r="V19" s="91">
        <f t="shared" si="23"/>
        <v>39</v>
      </c>
      <c r="X19" s="91">
        <v>38</v>
      </c>
      <c r="AA19" s="91" t="str">
        <f>J11</f>
        <v>kabul</v>
      </c>
    </row>
    <row r="20" spans="2:27" ht="29.25" customHeight="1" thickBot="1" x14ac:dyDescent="0.3">
      <c r="B20" s="10"/>
      <c r="C20" s="135" t="s">
        <v>86</v>
      </c>
      <c r="D20" s="136"/>
      <c r="E20" s="47">
        <f>IF(E19="","",Sheet4!H4)</f>
        <v>7</v>
      </c>
      <c r="F20" s="34" t="str">
        <f>IF(E20="","",IF(E5="","",IF(E20=E15,"",IF(E15&lt;E20,"numune sayısı yetersiz",""))))</f>
        <v/>
      </c>
      <c r="G20" s="39" t="s">
        <v>13</v>
      </c>
      <c r="H20" s="42">
        <f>IF(OR(J11="red",J11=""),"",IFERROR(IF($E$18=Sheet4!$A$16,0.95*'BETON UYGUNLUK DEĞERLENDİRME'!J8,IF('BETON UYGUNLUK DEĞERLENDİRME'!$E$18=Sheet4!$A$18,0.97*'BETON UYGUNLUK DEĞERLENDİRME'!J8,'BETON UYGUNLUK DEĞERLENDİRME'!J8)),""))</f>
        <v>31</v>
      </c>
      <c r="I20" s="132"/>
      <c r="J20" s="36" t="str">
        <f t="shared" si="19"/>
        <v>UYGUN DEĞİL</v>
      </c>
      <c r="K20" s="16"/>
      <c r="L20" s="16"/>
      <c r="M20" s="16"/>
      <c r="N20" s="16"/>
      <c r="O20" s="12"/>
      <c r="P20" s="94">
        <f t="shared" si="20"/>
        <v>31</v>
      </c>
      <c r="Q20" s="91">
        <f t="shared" si="21"/>
        <v>39</v>
      </c>
      <c r="R20" s="91">
        <f t="shared" si="22"/>
        <v>33</v>
      </c>
      <c r="T20" s="91" t="str">
        <v>kabul</v>
      </c>
      <c r="U20" s="91">
        <v>6</v>
      </c>
      <c r="V20" s="91">
        <f t="shared" si="23"/>
        <v>39</v>
      </c>
      <c r="X20" s="91">
        <v>31</v>
      </c>
      <c r="AA20" s="91" t="str">
        <f>L11</f>
        <v/>
      </c>
    </row>
    <row r="21" spans="2:27" ht="29.25" customHeight="1" thickBot="1" x14ac:dyDescent="0.3">
      <c r="B21" s="10"/>
      <c r="C21" s="20"/>
      <c r="D21" s="20"/>
      <c r="E21" s="21"/>
      <c r="F21" s="20"/>
      <c r="G21" s="39" t="s">
        <v>14</v>
      </c>
      <c r="H21" s="42" t="str">
        <f>IF(OR(K11="red",K11=""),"",IFERROR(IF($E$18=Sheet4!$A$16,0.95*'BETON UYGUNLUK DEĞERLENDİRME'!K8,IF('BETON UYGUNLUK DEĞERLENDİRME'!$E$18=Sheet4!$A$18,0.97*'BETON UYGUNLUK DEĞERLENDİRME'!K8,'BETON UYGUNLUK DEĞERLENDİRME'!K8)),""))</f>
        <v/>
      </c>
      <c r="I21" s="132"/>
      <c r="J21" s="36" t="str">
        <f t="shared" si="19"/>
        <v/>
      </c>
      <c r="K21" s="16"/>
      <c r="L21" s="16"/>
      <c r="M21" s="16"/>
      <c r="N21" s="16"/>
      <c r="O21" s="12"/>
      <c r="P21" s="94" t="str">
        <f t="shared" si="20"/>
        <v/>
      </c>
      <c r="Q21" s="91">
        <f t="shared" si="21"/>
        <v>39</v>
      </c>
      <c r="R21" s="91">
        <f t="shared" si="22"/>
        <v>33</v>
      </c>
      <c r="T21" s="91" t="str">
        <v>red</v>
      </c>
      <c r="U21" s="91">
        <v>7</v>
      </c>
      <c r="V21" s="91">
        <f t="shared" si="23"/>
        <v>39</v>
      </c>
      <c r="X21" s="91">
        <v>37.666666666666664</v>
      </c>
    </row>
    <row r="22" spans="2:27" ht="29.25" customHeight="1" thickBot="1" x14ac:dyDescent="0.3">
      <c r="B22" s="10"/>
      <c r="C22" s="23"/>
      <c r="D22" s="32" t="s">
        <v>20</v>
      </c>
      <c r="E22" s="33" t="s">
        <v>21</v>
      </c>
      <c r="F22" s="20"/>
      <c r="G22" s="39" t="s">
        <v>15</v>
      </c>
      <c r="H22" s="42" t="str">
        <f>IF(OR(L11="red",L11=""),"",IFERROR(IF($E$18=Sheet4!$A$16,0.95*'BETON UYGUNLUK DEĞERLENDİRME'!L8,IF('BETON UYGUNLUK DEĞERLENDİRME'!$E$18=Sheet4!$A$18,0.97*'BETON UYGUNLUK DEĞERLENDİRME'!L8,'BETON UYGUNLUK DEĞERLENDİRME'!L8)),""))</f>
        <v/>
      </c>
      <c r="I22" s="132"/>
      <c r="J22" s="36" t="str">
        <f t="shared" si="19"/>
        <v/>
      </c>
      <c r="K22" s="16"/>
      <c r="L22" s="16"/>
      <c r="M22" s="16"/>
      <c r="N22" s="16"/>
      <c r="O22" s="12"/>
      <c r="P22" s="94" t="str">
        <f t="shared" si="20"/>
        <v/>
      </c>
      <c r="Q22" s="91">
        <f t="shared" si="21"/>
        <v>39</v>
      </c>
      <c r="R22" s="91">
        <f t="shared" si="22"/>
        <v>33</v>
      </c>
      <c r="T22" s="91" t="str">
        <v/>
      </c>
      <c r="U22" s="91">
        <v>8</v>
      </c>
      <c r="V22" s="91">
        <f t="shared" si="23"/>
        <v>39</v>
      </c>
      <c r="X22" s="91" t="str">
        <v/>
      </c>
    </row>
    <row r="23" spans="2:27" ht="29.25" customHeight="1" thickBot="1" x14ac:dyDescent="0.3">
      <c r="B23" s="10"/>
      <c r="C23" s="23"/>
      <c r="D23" s="30" t="s">
        <v>46</v>
      </c>
      <c r="E23" s="31" t="s">
        <v>76</v>
      </c>
      <c r="F23" s="11"/>
      <c r="G23" s="39" t="s">
        <v>16</v>
      </c>
      <c r="H23" s="42" t="str">
        <f>IF(OR(M11="red",M11=""),"",IFERROR(IF($E$18=Sheet4!$A$16,0.95*'BETON UYGUNLUK DEĞERLENDİRME'!M8,IF('BETON UYGUNLUK DEĞERLENDİRME'!$E$18=Sheet4!$A$18,0.97*'BETON UYGUNLUK DEĞERLENDİRME'!M8,'BETON UYGUNLUK DEĞERLENDİRME'!M8)),""))</f>
        <v/>
      </c>
      <c r="I23" s="132"/>
      <c r="J23" s="36" t="str">
        <f t="shared" si="19"/>
        <v/>
      </c>
      <c r="K23" s="16"/>
      <c r="L23" s="16"/>
      <c r="M23" s="16"/>
      <c r="N23" s="16"/>
      <c r="O23" s="12"/>
      <c r="P23" s="94" t="str">
        <f t="shared" si="20"/>
        <v/>
      </c>
      <c r="Q23" s="91">
        <f t="shared" si="21"/>
        <v>39</v>
      </c>
      <c r="R23" s="91">
        <f t="shared" si="22"/>
        <v>33</v>
      </c>
      <c r="T23" s="91" t="str">
        <v/>
      </c>
      <c r="U23" s="91">
        <v>9</v>
      </c>
      <c r="V23" s="91">
        <f t="shared" si="23"/>
        <v>39</v>
      </c>
      <c r="X23" s="91" t="str">
        <v/>
      </c>
      <c r="AA23" s="91" t="str">
        <f>N11</f>
        <v/>
      </c>
    </row>
    <row r="24" spans="2:27" ht="28.5" customHeight="1" thickBot="1" x14ac:dyDescent="0.3">
      <c r="B24" s="10"/>
      <c r="C24" s="24" t="s">
        <v>22</v>
      </c>
      <c r="D24" s="48" t="s">
        <v>24</v>
      </c>
      <c r="E24" s="51" t="s">
        <v>34</v>
      </c>
      <c r="F24" s="11"/>
      <c r="G24" s="40" t="s">
        <v>33</v>
      </c>
      <c r="H24" s="43" t="str">
        <f>IF(OR(N11="red",N11=""),"",IFERROR(IF($E$18=Sheet4!$A$16,0.95*'BETON UYGUNLUK DEĞERLENDİRME'!N8,IF('BETON UYGUNLUK DEĞERLENDİRME'!$E$18=Sheet4!$A$18,0.97*'BETON UYGUNLUK DEĞERLENDİRME'!N8,'BETON UYGUNLUK DEĞERLENDİRME'!N8)),""))</f>
        <v/>
      </c>
      <c r="I24" s="132"/>
      <c r="J24" s="37" t="str">
        <f t="shared" si="19"/>
        <v/>
      </c>
      <c r="K24" s="16"/>
      <c r="L24" s="16"/>
      <c r="M24" s="16"/>
      <c r="N24" s="16"/>
      <c r="O24" s="12"/>
      <c r="P24" s="94" t="str">
        <f t="shared" si="20"/>
        <v/>
      </c>
      <c r="Q24" s="91">
        <f t="shared" si="21"/>
        <v>39</v>
      </c>
      <c r="R24" s="91">
        <f t="shared" si="22"/>
        <v>33</v>
      </c>
      <c r="T24" s="91" t="str">
        <v/>
      </c>
      <c r="U24" s="91">
        <v>10</v>
      </c>
      <c r="V24" s="91">
        <f t="shared" si="23"/>
        <v>39</v>
      </c>
      <c r="X24" s="91" t="str">
        <v/>
      </c>
      <c r="AA24" s="91" t="str">
        <f>N12</f>
        <v/>
      </c>
    </row>
    <row r="25" spans="2:27" ht="28.5" customHeight="1" thickBot="1" x14ac:dyDescent="0.3">
      <c r="B25" s="10"/>
      <c r="C25" s="25" t="s">
        <v>23</v>
      </c>
      <c r="D25" s="49" t="s">
        <v>29</v>
      </c>
      <c r="E25" s="52" t="s">
        <v>28</v>
      </c>
      <c r="F25" s="11"/>
      <c r="G25" s="98" t="s">
        <v>85</v>
      </c>
      <c r="H25" s="97">
        <f>AVERAGE(H15:H24)</f>
        <v>37.533333333333339</v>
      </c>
      <c r="I25" s="87" t="str">
        <f>I15</f>
        <v>UYGUN DEĞİL</v>
      </c>
      <c r="J25" s="87" t="str">
        <f>IF(E5="","",IF(C3=Sheet4!A3,"",IF(OR(J15="UYGUN DEĞİL",J16="UYGUN DEĞİL",J17="UYGUN DEĞİL",J18="UYGUN DEĞİL",J19="UYGUN DEĞİL",J20="UYGUN DEĞİL",J21="UYGUN DEĞİL",J22="UYGUN DEĞİL",J23="UYGUN DEĞİL",J24="UYGUN DEĞİL"),"UYGUN DEĞİL","UYGUN")))</f>
        <v>UYGUN DEĞİL</v>
      </c>
      <c r="K25" s="17"/>
      <c r="L25" s="17"/>
      <c r="M25" s="17"/>
      <c r="N25" s="17"/>
      <c r="O25" s="12"/>
      <c r="P25" s="94">
        <f>E17</f>
        <v>37.533333333333339</v>
      </c>
      <c r="Q25" s="91">
        <f t="shared" si="21"/>
        <v>39</v>
      </c>
      <c r="R25" s="91">
        <f t="shared" si="22"/>
        <v>33</v>
      </c>
      <c r="U25" s="91" t="s">
        <v>48</v>
      </c>
    </row>
    <row r="26" spans="2:27" ht="28.5" customHeight="1" thickBot="1" x14ac:dyDescent="0.3">
      <c r="B26" s="10"/>
      <c r="C26" s="26" t="s">
        <v>47</v>
      </c>
      <c r="D26" s="50" t="s">
        <v>30</v>
      </c>
      <c r="E26" s="53" t="s">
        <v>28</v>
      </c>
      <c r="F26" s="11"/>
      <c r="G26" s="99" t="s">
        <v>31</v>
      </c>
      <c r="H26" s="126" t="str">
        <f>IF(E5="","",IF(C3=Sheet4!A3,"",IF(AND(OR(I25="UYGUN",I25="uygulanmaz"),J25="UYGUN"),"UYGUN","UYGUN DEĞİL")))</f>
        <v>UYGUN DEĞİL</v>
      </c>
      <c r="I26" s="127"/>
      <c r="J26" s="128"/>
      <c r="K26" s="18"/>
      <c r="L26" s="18"/>
      <c r="M26" s="18"/>
      <c r="N26" s="18"/>
      <c r="O26" s="12"/>
      <c r="Q26" s="91" t="s">
        <v>58</v>
      </c>
      <c r="R26" s="95" t="s">
        <v>59</v>
      </c>
    </row>
    <row r="27" spans="2:27" ht="7.5" customHeight="1" thickBot="1" x14ac:dyDescent="0.3">
      <c r="B27" s="13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5"/>
    </row>
    <row r="30" spans="2:27" x14ac:dyDescent="0.25">
      <c r="R30" s="91" t="str">
        <f>Q25&amp;" "&amp;Q26</f>
        <v>39 MPa</v>
      </c>
      <c r="S30" s="91" t="str">
        <f>R26&amp;" "&amp;R30</f>
        <v>≥ 39 MPa</v>
      </c>
      <c r="T30" s="91" t="str">
        <f>D22&amp; "            "&amp;S30</f>
        <v>1. Kriter             ≥ 39 MPa</v>
      </c>
    </row>
    <row r="31" spans="2:27" x14ac:dyDescent="0.25">
      <c r="R31" s="91" t="str">
        <f>R25&amp;" "&amp;Q26</f>
        <v>33 MPa</v>
      </c>
      <c r="S31" s="91" t="str">
        <f>R26&amp;" "&amp;R31</f>
        <v>≥ 33 MPa</v>
      </c>
      <c r="T31" s="91" t="str">
        <f>E22&amp; "            "&amp;S31</f>
        <v>2. Kriter             ≥ 33 MPa</v>
      </c>
    </row>
  </sheetData>
  <dataConsolidate/>
  <mergeCells count="22">
    <mergeCell ref="C6:D6"/>
    <mergeCell ref="J13:J14"/>
    <mergeCell ref="C13:E13"/>
    <mergeCell ref="C14:D14"/>
    <mergeCell ref="C8:D8"/>
    <mergeCell ref="C7:D7"/>
    <mergeCell ref="C15:D15"/>
    <mergeCell ref="C9:D9"/>
    <mergeCell ref="C10:D10"/>
    <mergeCell ref="H26:J26"/>
    <mergeCell ref="B1:O1"/>
    <mergeCell ref="C17:D17"/>
    <mergeCell ref="C18:D18"/>
    <mergeCell ref="I15:I24"/>
    <mergeCell ref="C16:D16"/>
    <mergeCell ref="C19:D19"/>
    <mergeCell ref="C20:D20"/>
    <mergeCell ref="C5:D5"/>
    <mergeCell ref="C3:D4"/>
    <mergeCell ref="E3:N3"/>
    <mergeCell ref="G13:G14"/>
    <mergeCell ref="I13:I14"/>
  </mergeCells>
  <phoneticPr fontId="22" type="noConversion"/>
  <conditionalFormatting sqref="E11:N11">
    <cfRule type="cellIs" dxfId="18" priority="45" operator="equal">
      <formula>"kabul"</formula>
    </cfRule>
    <cfRule type="cellIs" dxfId="17" priority="46" operator="equal">
      <formula>"red"</formula>
    </cfRule>
  </conditionalFormatting>
  <conditionalFormatting sqref="J25">
    <cfRule type="cellIs" dxfId="16" priority="27" operator="equal">
      <formula>"UYGUN"</formula>
    </cfRule>
    <cfRule type="cellIs" dxfId="15" priority="28" operator="equal">
      <formula>"UYGUN DEĞİL"</formula>
    </cfRule>
  </conditionalFormatting>
  <conditionalFormatting sqref="H25">
    <cfRule type="cellIs" dxfId="14" priority="14" operator="equal">
      <formula>"UYGUN"</formula>
    </cfRule>
    <cfRule type="cellIs" dxfId="13" priority="15" operator="equal">
      <formula>"UYGUN DEĞİL"</formula>
    </cfRule>
  </conditionalFormatting>
  <conditionalFormatting sqref="I25">
    <cfRule type="cellIs" dxfId="12" priority="12" operator="equal">
      <formula>"UYGUN"</formula>
    </cfRule>
    <cfRule type="cellIs" dxfId="11" priority="13" operator="equal">
      <formula>"UYGUN DEĞİL"</formula>
    </cfRule>
  </conditionalFormatting>
  <conditionalFormatting sqref="F18">
    <cfRule type="expression" dxfId="10" priority="11">
      <formula>IF($F$18="uygun değil",1)</formula>
    </cfRule>
  </conditionalFormatting>
  <conditionalFormatting sqref="H15:H24">
    <cfRule type="expression" dxfId="9" priority="10">
      <formula>IF(T15="red",1)</formula>
    </cfRule>
  </conditionalFormatting>
  <conditionalFormatting sqref="J15:J24">
    <cfRule type="expression" dxfId="8" priority="9">
      <formula>IF(J15="UYGUN DEĞİL",1)</formula>
    </cfRule>
  </conditionalFormatting>
  <conditionalFormatting sqref="I15">
    <cfRule type="expression" dxfId="7" priority="8">
      <formula>IF(I15="UYGUN DEĞİL",1)</formula>
    </cfRule>
  </conditionalFormatting>
  <conditionalFormatting sqref="D24:E24">
    <cfRule type="expression" dxfId="6" priority="7">
      <formula>IF($E$15&lt;2,1)</formula>
    </cfRule>
  </conditionalFormatting>
  <conditionalFormatting sqref="D26:E26">
    <cfRule type="expression" dxfId="5" priority="5">
      <formula>IF($E$15&gt;4,1)</formula>
    </cfRule>
  </conditionalFormatting>
  <conditionalFormatting sqref="D25:E25">
    <cfRule type="expression" dxfId="4" priority="6">
      <formula>IF(AND($E$15&gt;1,$E$15&lt;5),1)</formula>
    </cfRule>
  </conditionalFormatting>
  <conditionalFormatting sqref="E12:N12">
    <cfRule type="cellIs" dxfId="3" priority="3" operator="equal">
      <formula>"kabul"</formula>
    </cfRule>
    <cfRule type="cellIs" dxfId="2" priority="4" operator="equal">
      <formula>"red"</formula>
    </cfRule>
  </conditionalFormatting>
  <conditionalFormatting sqref="H26">
    <cfRule type="cellIs" dxfId="1" priority="1" operator="equal">
      <formula>"UYGUN"</formula>
    </cfRule>
    <cfRule type="cellIs" dxfId="0" priority="2" operator="equal">
      <formula>"UYGUN DEĞİL"</formula>
    </cfRule>
  </conditionalFormatting>
  <pageMargins left="0.7" right="0.7" top="0.75" bottom="0.75" header="0.3" footer="0.3"/>
  <pageSetup paperSize="9" orientation="portrait" horizontalDpi="0" verticalDpi="0" r:id="rId1"/>
  <ignoredErrors>
    <ignoredError sqref="E15" formulaRange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0000000}">
          <x14:formula1>
            <xm:f>Sheet4!$A$15:$A$18</xm:f>
          </x14:formula1>
          <xm:sqref>E18</xm:sqref>
        </x14:dataValidation>
        <x14:dataValidation type="list" allowBlank="1" showInputMessage="1" showErrorMessage="1" xr:uid="{00000000-0002-0000-0100-000001000000}">
          <x14:formula1>
            <xm:f>Sheet4!$A$3:$A$11</xm:f>
          </x14:formula1>
          <xm:sqref>C3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3:L18"/>
  <sheetViews>
    <sheetView workbookViewId="0">
      <selection activeCell="J4" sqref="J4"/>
    </sheetView>
  </sheetViews>
  <sheetFormatPr defaultRowHeight="15" x14ac:dyDescent="0.25"/>
  <sheetData>
    <row r="3" spans="1:12" x14ac:dyDescent="0.25">
      <c r="A3" t="s">
        <v>17</v>
      </c>
    </row>
    <row r="4" spans="1:12" x14ac:dyDescent="0.25">
      <c r="A4" t="s">
        <v>5</v>
      </c>
      <c r="B4">
        <v>20</v>
      </c>
      <c r="C4">
        <v>16</v>
      </c>
      <c r="E4">
        <v>0</v>
      </c>
      <c r="G4">
        <f>'BETON UYGUNLUK DEĞERLENDİRME'!E19</f>
        <v>280</v>
      </c>
      <c r="H4">
        <f>IF(G4&lt;E5,2,IF(AND(G4&gt;=E5,G4&lt;=E6),3,IF(AND(G4&gt;E6,G4&lt;=E7),4,IF(AND(G4&gt;E7,G4&lt;=E8),5,IF(AND(G4&gt;E8,G4&lt;=E9),6,IF(AND(G4&gt;E9,G4&lt;=E10),7,IF(AND(G4&gt;E10,G4&lt;=E11),8,IF(AND(G4&gt;E11,G4&lt;=E12),9,IF(AND(G4&gt;E12,G4&lt;=E13),10)))))))))</f>
        <v>7</v>
      </c>
      <c r="I4" t="str">
        <f>'BETON UYGUNLUK DEĞERLENDİRME'!C3</f>
        <v>C30/37</v>
      </c>
      <c r="J4">
        <f>IF(OR($I$4=A4,$I$4=A5),0,1)</f>
        <v>1</v>
      </c>
      <c r="K4" t="str">
        <f>'BETON UYGUNLUK DEĞERLENDİRME'!E18</f>
        <v>150 mm'lik küp</v>
      </c>
      <c r="L4" t="str">
        <f>IF(AND(J4=0,OR(K4=A18,K4=A16)),"Uygun değil","")</f>
        <v/>
      </c>
    </row>
    <row r="5" spans="1:12" x14ac:dyDescent="0.25">
      <c r="A5" s="1" t="s">
        <v>0</v>
      </c>
      <c r="B5">
        <v>25</v>
      </c>
      <c r="C5">
        <v>20</v>
      </c>
      <c r="E5">
        <v>25</v>
      </c>
    </row>
    <row r="6" spans="1:12" ht="15.75" thickBot="1" x14ac:dyDescent="0.3">
      <c r="A6" s="2" t="s">
        <v>1</v>
      </c>
      <c r="B6">
        <v>30</v>
      </c>
      <c r="C6">
        <v>25</v>
      </c>
      <c r="E6">
        <v>100</v>
      </c>
    </row>
    <row r="7" spans="1:12" x14ac:dyDescent="0.25">
      <c r="A7" s="3" t="s">
        <v>2</v>
      </c>
      <c r="B7">
        <v>37</v>
      </c>
      <c r="C7">
        <v>30</v>
      </c>
      <c r="E7">
        <v>150</v>
      </c>
      <c r="L7" t="s">
        <v>69</v>
      </c>
    </row>
    <row r="8" spans="1:12" x14ac:dyDescent="0.25">
      <c r="A8" s="3" t="s">
        <v>3</v>
      </c>
      <c r="B8">
        <v>45</v>
      </c>
      <c r="C8">
        <v>35</v>
      </c>
      <c r="E8">
        <v>200</v>
      </c>
      <c r="L8" t="s">
        <v>70</v>
      </c>
    </row>
    <row r="9" spans="1:12" x14ac:dyDescent="0.25">
      <c r="A9" s="3" t="s">
        <v>4</v>
      </c>
      <c r="B9">
        <v>50</v>
      </c>
      <c r="C9">
        <v>40</v>
      </c>
      <c r="E9">
        <v>250</v>
      </c>
    </row>
    <row r="10" spans="1:12" x14ac:dyDescent="0.25">
      <c r="A10" s="4" t="s">
        <v>6</v>
      </c>
      <c r="B10">
        <v>55</v>
      </c>
      <c r="C10">
        <v>45</v>
      </c>
      <c r="E10">
        <v>300</v>
      </c>
    </row>
    <row r="11" spans="1:12" x14ac:dyDescent="0.25">
      <c r="A11" s="4" t="s">
        <v>18</v>
      </c>
      <c r="B11">
        <v>60</v>
      </c>
      <c r="C11">
        <v>50</v>
      </c>
      <c r="E11">
        <v>400</v>
      </c>
    </row>
    <row r="12" spans="1:12" x14ac:dyDescent="0.25">
      <c r="A12" s="4"/>
      <c r="E12">
        <v>500</v>
      </c>
    </row>
    <row r="13" spans="1:12" x14ac:dyDescent="0.25">
      <c r="E13">
        <v>600</v>
      </c>
    </row>
    <row r="15" spans="1:12" x14ac:dyDescent="0.25">
      <c r="A15" t="s">
        <v>27</v>
      </c>
    </row>
    <row r="16" spans="1:12" x14ac:dyDescent="0.25">
      <c r="A16" t="s">
        <v>37</v>
      </c>
      <c r="F16" t="str">
        <f>IF(OR('BETON UYGUNLUK DEĞERLENDİRME'!E18=Sheet4!A16,'BETON UYGUNLUK DEĞERLENDİRME'!E18=Sheet4!A15),Sheet4!A15,Sheet4!A17)</f>
        <v>150 mm'lik küp</v>
      </c>
      <c r="H16" t="str">
        <f>F16&amp;"'e"</f>
        <v>150 mm'lik küp'e</v>
      </c>
    </row>
    <row r="17" spans="1:1" x14ac:dyDescent="0.25">
      <c r="A17" t="s">
        <v>38</v>
      </c>
    </row>
    <row r="18" spans="1:1" x14ac:dyDescent="0.25">
      <c r="A18" t="s">
        <v>39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6575A5-B6CE-44E0-B1EE-72EEA05E06BE}">
  <dimension ref="J1:Q12"/>
  <sheetViews>
    <sheetView showGridLines="0" workbookViewId="0">
      <selection activeCell="Q8" sqref="Q8"/>
    </sheetView>
  </sheetViews>
  <sheetFormatPr defaultRowHeight="15" x14ac:dyDescent="0.25"/>
  <cols>
    <col min="1" max="9" width="9.140625" style="56"/>
    <col min="10" max="10" width="17.85546875" style="56" bestFit="1" customWidth="1"/>
    <col min="11" max="11" width="15.42578125" style="56" customWidth="1"/>
    <col min="12" max="12" width="2.85546875" style="56" customWidth="1"/>
    <col min="13" max="13" width="17.28515625" style="56" customWidth="1"/>
    <col min="14" max="14" width="16.7109375" style="56" customWidth="1"/>
    <col min="15" max="15" width="2.85546875" style="56" customWidth="1"/>
    <col min="16" max="16" width="13.140625" style="56" customWidth="1"/>
    <col min="17" max="16384" width="9.140625" style="56"/>
  </cols>
  <sheetData>
    <row r="1" spans="10:17" x14ac:dyDescent="0.25">
      <c r="J1" s="54" t="s">
        <v>50</v>
      </c>
      <c r="K1" s="55" t="s">
        <v>51</v>
      </c>
      <c r="M1" s="54" t="s">
        <v>52</v>
      </c>
      <c r="N1" s="55" t="s">
        <v>53</v>
      </c>
      <c r="P1" s="57" t="s">
        <v>52</v>
      </c>
      <c r="Q1" s="55" t="s">
        <v>53</v>
      </c>
    </row>
    <row r="2" spans="10:17" x14ac:dyDescent="0.25">
      <c r="J2" s="58"/>
      <c r="K2" s="59">
        <f>Q7</f>
        <v>39</v>
      </c>
      <c r="M2" s="58">
        <v>10</v>
      </c>
      <c r="N2" s="59">
        <v>10</v>
      </c>
      <c r="P2" s="60" t="s">
        <v>54</v>
      </c>
      <c r="Q2" s="61">
        <f>'BETON UYGUNLUK DEĞERLENDİRME'!E17</f>
        <v>37.533333333333339</v>
      </c>
    </row>
    <row r="3" spans="10:17" x14ac:dyDescent="0.25">
      <c r="J3" s="58"/>
      <c r="K3" s="59">
        <f>K4-K2</f>
        <v>61</v>
      </c>
      <c r="M3" s="58">
        <v>20</v>
      </c>
      <c r="N3" s="59">
        <v>10</v>
      </c>
      <c r="P3" s="62" t="s">
        <v>55</v>
      </c>
      <c r="Q3" s="63">
        <v>1</v>
      </c>
    </row>
    <row r="4" spans="10:17" x14ac:dyDescent="0.25">
      <c r="J4" s="58"/>
      <c r="K4" s="59">
        <v>100</v>
      </c>
      <c r="M4" s="58">
        <v>30</v>
      </c>
      <c r="N4" s="59">
        <v>10</v>
      </c>
      <c r="P4" s="64" t="s">
        <v>56</v>
      </c>
      <c r="Q4" s="65">
        <f>200-Q2-Q3</f>
        <v>161.46666666666667</v>
      </c>
    </row>
    <row r="5" spans="10:17" x14ac:dyDescent="0.25">
      <c r="J5" s="58"/>
      <c r="K5" s="59">
        <v>100</v>
      </c>
      <c r="M5" s="58">
        <v>40</v>
      </c>
      <c r="N5" s="59">
        <v>10</v>
      </c>
    </row>
    <row r="6" spans="10:17" x14ac:dyDescent="0.25">
      <c r="J6" s="58"/>
      <c r="K6" s="59"/>
      <c r="M6" s="58">
        <v>50</v>
      </c>
      <c r="N6" s="59">
        <v>10</v>
      </c>
      <c r="Q6" s="56">
        <f>'BETON UYGUNLUK DEĞERLENDİRME'!E16</f>
        <v>37</v>
      </c>
    </row>
    <row r="7" spans="10:17" x14ac:dyDescent="0.25">
      <c r="M7" s="58">
        <v>60</v>
      </c>
      <c r="N7" s="59">
        <v>10</v>
      </c>
      <c r="Q7" s="56">
        <f>'BETON UYGUNLUK DEĞERLENDİRME'!Q15</f>
        <v>39</v>
      </c>
    </row>
    <row r="8" spans="10:17" x14ac:dyDescent="0.25">
      <c r="M8" s="58">
        <v>70</v>
      </c>
      <c r="N8" s="59">
        <v>10</v>
      </c>
    </row>
    <row r="9" spans="10:17" x14ac:dyDescent="0.25">
      <c r="M9" s="58">
        <v>80</v>
      </c>
      <c r="N9" s="59">
        <v>10</v>
      </c>
    </row>
    <row r="10" spans="10:17" x14ac:dyDescent="0.25">
      <c r="M10" s="58">
        <v>90</v>
      </c>
      <c r="N10" s="59">
        <v>10</v>
      </c>
    </row>
    <row r="11" spans="10:17" x14ac:dyDescent="0.25">
      <c r="M11" s="58">
        <v>100</v>
      </c>
      <c r="N11" s="59">
        <v>10</v>
      </c>
    </row>
    <row r="12" spans="10:17" x14ac:dyDescent="0.25">
      <c r="M12" s="58" t="s">
        <v>57</v>
      </c>
      <c r="N12" s="59">
        <f>SUBTOTAL(109,Sheet1!$N$2:$N$11)</f>
        <v>100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AÇIKLAMA</vt:lpstr>
      <vt:lpstr>BETON UYGUNLUK DEĞERLENDİRME</vt:lpstr>
      <vt:lpstr>Sheet4</vt:lpstr>
      <vt:lpstr>Sheet1</vt:lpstr>
    </vt:vector>
  </TitlesOfParts>
  <Company>SilentAll Team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yasin engin</dc:creator>
  <cp:lastModifiedBy>yasin engin</cp:lastModifiedBy>
  <dcterms:created xsi:type="dcterms:W3CDTF">2015-10-27T11:05:58Z</dcterms:created>
  <dcterms:modified xsi:type="dcterms:W3CDTF">2022-03-08T11:07:28Z</dcterms:modified>
</cp:coreProperties>
</file>